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updateLinks="never" codeName="ThisWorkbook"/>
  <mc:AlternateContent xmlns:mc="http://schemas.openxmlformats.org/markup-compatibility/2006">
    <mc:Choice Requires="x15">
      <x15ac:absPath xmlns:x15ac="http://schemas.microsoft.com/office/spreadsheetml/2010/11/ac" url="C:\Users\Owner\Downloads\"/>
    </mc:Choice>
  </mc:AlternateContent>
  <xr:revisionPtr revIDLastSave="0" documentId="13_ncr:1_{A7CDCE69-01C2-4BC5-9166-D0ECE064557C}" xr6:coauthVersionLast="47" xr6:coauthVersionMax="47" xr10:uidLastSave="{00000000-0000-0000-0000-000000000000}"/>
  <bookViews>
    <workbookView xWindow="-98" yWindow="-98" windowWidth="20715" windowHeight="13276" xr2:uid="{00000000-000D-0000-FFFF-FFFF00000000}"/>
  </bookViews>
  <sheets>
    <sheet name="Project Costs" sheetId="1" r:id="rId1"/>
    <sheet name="Existing Businesses Financials" sheetId="4" r:id="rId2"/>
    <sheet name="Monthly Cashflow Projection" sheetId="2" r:id="rId3"/>
    <sheet name="Previous Owner Financials" sheetId="6" state="hidden" r:id="rId4"/>
    <sheet name="5 Year Projections" sheetId="7" r:id="rId5"/>
    <sheet name="Sources and Uses" sheetId="8" state="hidden" r:id="rId6"/>
    <sheet name="Personal Financial Statement" sheetId="5" r:id="rId7"/>
    <sheet name="Payment Comparison" sheetId="9" state="hidden" r:id="rId8"/>
    <sheet name="Amortization Schedule" sheetId="10" state="hidden" r:id="rId9"/>
    <sheet name="Loan Calculator Data" sheetId="11" state="hidden" r:id="rId10"/>
    <sheet name="Job and Wage Estimates" sheetId="3" state="hidden" r:id="rId11"/>
  </sheets>
  <externalReferences>
    <externalReference r:id="rId12"/>
  </externalReferences>
  <definedNames>
    <definedName name="ActualNumberOfPayments">IFERROR(IF(LoanIsGood,IF(PaymentsPerYear=1,1,MATCH(0.01,End_Bal,-1)+1)),"")</definedName>
    <definedName name="Beg_Bal">'Amortization Schedule'!$D$14:$D$25</definedName>
    <definedName name="Beg_Bal2">'Amortization Schedule'!$D$28:$D$750</definedName>
    <definedName name="End_Bal">'Amortization Schedule'!$L$28:$L$748</definedName>
    <definedName name="Extra_Pay">'Amortization Schedule'!$F$14:$F$25</definedName>
    <definedName name="Extra_Pay2">'Amortization Schedule'!$F$28:$F$753</definedName>
    <definedName name="ExtraPayments">'Amortization Schedule'!$M$8</definedName>
    <definedName name="Header_Row">ROW('Amortization Schedule'!$13:$13)</definedName>
    <definedName name="Int">'Amortization Schedule'!$K$28:$K$748</definedName>
    <definedName name="Interest_Rate">'Amortization Schedule'!$D$10</definedName>
    <definedName name="InterestRate">'Amortization Schedule'!$K$10</definedName>
    <definedName name="Interval">'Amortization Schedule'!$K$9</definedName>
    <definedName name="Last_Row">IF(Values_Entered,Header_Row+Number_of_Payments,Header_Row)</definedName>
    <definedName name="Loan_Amount">'Amortization Schedule'!$K$7</definedName>
    <definedName name="Loan_Start">'Amortization Schedule'!$K$5</definedName>
    <definedName name="Loan_Years">'Amortization Schedule'!$K$8</definedName>
    <definedName name="LoanAmount">'Amortization Schedule'!$K$7</definedName>
    <definedName name="LoanAmountGP">'Amortization Schedule'!$D$7</definedName>
    <definedName name="LoanIsGood">('Amortization Schedule'!$K$7*'Amortization Schedule'!$K$10*'Amortization Schedule'!$K$8*'Amortization Schedule'!$K$5)&gt;0</definedName>
    <definedName name="LoanPeriod">'Amortization Schedule'!$D$8</definedName>
    <definedName name="LoanPeriod2">'Amortization Schedule'!$K$8</definedName>
    <definedName name="LoanStartDate">'Amortization Schedule'!$K$5</definedName>
    <definedName name="LoanStartDateGP">'Amortization Schedule'!$D$5</definedName>
    <definedName name="Number_of_Payments">IF(scheduled_no_payments=1,1,MATCH(0.01,End_Bal,-1)+1)</definedName>
    <definedName name="Pay_Num">'Amortization Schedule'!$B$28:$B$747</definedName>
    <definedName name="Pay_NumGP">'Amortization Schedule'!$B$14:$B$25</definedName>
    <definedName name="Payment_Frequency">'Amortization Schedule'!$K$9</definedName>
    <definedName name="PaymentComparison">LoanComparisonInfo27[]</definedName>
    <definedName name="PaymentComparisonGP">'Payment Comparison'!$B$14:$J$21</definedName>
    <definedName name="PaymentsPerYear">'Amortization Schedule'!$M$7</definedName>
    <definedName name="PaymentsPerYearGP">'Amortization Schedule'!$F$7</definedName>
    <definedName name="Princ">'Amortization Schedule'!$J$28:$J$748</definedName>
    <definedName name="_xlnm.Print_Area" localSheetId="6">'Personal Financial Statement'!$A$1:$I$46</definedName>
    <definedName name="_xlnm.Print_Area" localSheetId="0">'Project Costs'!$A$1:$D$145</definedName>
    <definedName name="RowTitleRegion1..E10.2">'Amortization Schedule'!$F$5:$F$5</definedName>
    <definedName name="S1Interest">'Payment Comparison'!$C$8</definedName>
    <definedName name="S1LoanPeriod">'Payment Comparison'!$C$6</definedName>
    <definedName name="S1PaymentFrequency">'Payment Comparison'!$C$7</definedName>
    <definedName name="S1ScheduledPayment">'Payment Comparison'!$C$9</definedName>
    <definedName name="S1TotalInterest">'Payment Comparison'!$C$11</definedName>
    <definedName name="S1TotalPayments">'Payment Comparison'!$C$10</definedName>
    <definedName name="S2Interest">'Payment Comparison'!$D$8</definedName>
    <definedName name="S2LoanPeriod">'Payment Comparison'!$D$6</definedName>
    <definedName name="S2PaymentFrequency">'Payment Comparison'!$D$7</definedName>
    <definedName name="S2ScheduledPayment">'Payment Comparison'!$D$9</definedName>
    <definedName name="S2TotalInterest">'Payment Comparison'!$D$11</definedName>
    <definedName name="S2TotalPayments">'Payment Comparison'!$D$10</definedName>
    <definedName name="S3Interest">#REF!</definedName>
    <definedName name="S3LoanPeriod">#REF!</definedName>
    <definedName name="S3PaymentFrequency">#REF!</definedName>
    <definedName name="S3ScheduledPayment">#REF!</definedName>
    <definedName name="S3TotalInterest">#REF!</definedName>
    <definedName name="S3TotalPayments">'Payment Comparison'!$E$10</definedName>
    <definedName name="Scenario">'Amortization Schedule'!$C$2</definedName>
    <definedName name="Sched_Pay">'Amortization Schedule'!$E$28:$E$748</definedName>
    <definedName name="Scheduled_Extra_Payments">'Amortization Schedule'!$K$6</definedName>
    <definedName name="Scheduled_Monthly_Payment">'Amortization Schedule'!$M$5</definedName>
    <definedName name="scheduled_no_payments">'Amortization Schedule'!$M$6</definedName>
    <definedName name="ScheduledNumberOfPayments">'Amortization Schedule'!$F$6</definedName>
    <definedName name="ScheduledPayment">'Amortization Schedule'!$M$5</definedName>
    <definedName name="Total_Pay">'Amortization Schedule'!$I$28:$I$748</definedName>
    <definedName name="TotalEarlyPayments">SUM('Amortization Schedule'!$M$8+'Amortization Schedule'!$M$5)</definedName>
    <definedName name="TotalInterest">SUM([1]!PaymentSchedule[INTEREST])</definedName>
    <definedName name="Values_Entered">IF(Loan_Amount*InterestRate*Loan_Years*Loan_Start&gt;0,1,0)</definedName>
    <definedName name="Values_Entered2">IF('Amortization Schedule'!$D$7*'Amortization Schedule'!$D$10*'Amortization Schedule'!$D$8*'Amortization Schedule'!$D$5&gt;0,1,0)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 l="1"/>
  <c r="D124" i="1"/>
  <c r="D122" i="1"/>
  <c r="F97" i="1"/>
  <c r="E97" i="1"/>
  <c r="B3" i="7" l="1"/>
  <c r="G29" i="7"/>
  <c r="H29" i="7" s="1"/>
  <c r="G34" i="7"/>
  <c r="H34" i="7" s="1"/>
  <c r="G38" i="7"/>
  <c r="H38" i="7" s="1"/>
  <c r="F20" i="7"/>
  <c r="G20" i="7" s="1"/>
  <c r="H20" i="7" s="1"/>
  <c r="F21" i="7"/>
  <c r="G21" i="7" s="1"/>
  <c r="H21" i="7" s="1"/>
  <c r="F22" i="7"/>
  <c r="G22" i="7" s="1"/>
  <c r="H22" i="7" s="1"/>
  <c r="F23" i="7"/>
  <c r="G23" i="7" s="1"/>
  <c r="H23" i="7" s="1"/>
  <c r="F24" i="7"/>
  <c r="G24" i="7" s="1"/>
  <c r="H24" i="7" s="1"/>
  <c r="F25" i="7"/>
  <c r="G25" i="7" s="1"/>
  <c r="H25" i="7" s="1"/>
  <c r="F26" i="7"/>
  <c r="G26" i="7" s="1"/>
  <c r="H26" i="7" s="1"/>
  <c r="F27" i="7"/>
  <c r="G27" i="7" s="1"/>
  <c r="H27" i="7" s="1"/>
  <c r="F29" i="7"/>
  <c r="F31" i="7"/>
  <c r="G31" i="7" s="1"/>
  <c r="H31" i="7" s="1"/>
  <c r="F32" i="7"/>
  <c r="G32" i="7" s="1"/>
  <c r="H32" i="7" s="1"/>
  <c r="F33" i="7"/>
  <c r="G33" i="7" s="1"/>
  <c r="H33" i="7" s="1"/>
  <c r="F34" i="7"/>
  <c r="F35" i="7"/>
  <c r="G35" i="7" s="1"/>
  <c r="H35" i="7" s="1"/>
  <c r="F36" i="7"/>
  <c r="G36" i="7" s="1"/>
  <c r="H36" i="7" s="1"/>
  <c r="F37" i="7"/>
  <c r="G37" i="7" s="1"/>
  <c r="H37" i="7" s="1"/>
  <c r="F38" i="7"/>
  <c r="F39" i="7"/>
  <c r="G39" i="7" s="1"/>
  <c r="H39" i="7" s="1"/>
  <c r="F40" i="7"/>
  <c r="G40" i="7" s="1"/>
  <c r="H40" i="7" s="1"/>
  <c r="F41" i="7"/>
  <c r="G41" i="7" s="1"/>
  <c r="H41" i="7" s="1"/>
  <c r="F42" i="7"/>
  <c r="G42" i="7" s="1"/>
  <c r="H42" i="7" s="1"/>
  <c r="F43" i="7"/>
  <c r="G43" i="7" s="1"/>
  <c r="H43" i="7" s="1"/>
  <c r="E20" i="7"/>
  <c r="E21" i="7"/>
  <c r="E22" i="7"/>
  <c r="E23" i="7"/>
  <c r="E24" i="7"/>
  <c r="E25" i="7"/>
  <c r="E26" i="7"/>
  <c r="E27" i="7"/>
  <c r="E28" i="7"/>
  <c r="E29" i="7"/>
  <c r="E30" i="7"/>
  <c r="E31" i="7"/>
  <c r="E32" i="7"/>
  <c r="E33" i="7"/>
  <c r="E34" i="7"/>
  <c r="E35" i="7"/>
  <c r="E36" i="7"/>
  <c r="E37" i="7"/>
  <c r="E38" i="7"/>
  <c r="E39" i="7"/>
  <c r="E40" i="7"/>
  <c r="E41" i="7"/>
  <c r="E42" i="7"/>
  <c r="E43" i="7"/>
  <c r="F18" i="7"/>
  <c r="G18" i="7" s="1"/>
  <c r="H18" i="7" s="1"/>
  <c r="E18" i="7"/>
  <c r="D18" i="7"/>
  <c r="C18" i="7"/>
  <c r="F19" i="7"/>
  <c r="G19" i="7" s="1"/>
  <c r="H19" i="7" s="1"/>
  <c r="F17" i="7"/>
  <c r="G17" i="7" s="1"/>
  <c r="H17" i="7" s="1"/>
  <c r="D12" i="7"/>
  <c r="A11" i="7"/>
  <c r="A12" i="7"/>
  <c r="A13" i="7"/>
  <c r="A14" i="7"/>
  <c r="A15" i="7"/>
  <c r="A16" i="7"/>
  <c r="A17" i="7"/>
  <c r="A19" i="7"/>
  <c r="A20" i="7"/>
  <c r="A21" i="7"/>
  <c r="A22" i="7"/>
  <c r="A23" i="7"/>
  <c r="A24" i="7"/>
  <c r="A25" i="7"/>
  <c r="A26" i="7"/>
  <c r="A27" i="7"/>
  <c r="A28" i="7"/>
  <c r="A29" i="7"/>
  <c r="A30" i="7"/>
  <c r="A31" i="7"/>
  <c r="A32" i="7"/>
  <c r="A33" i="7"/>
  <c r="A34" i="7"/>
  <c r="A35" i="7"/>
  <c r="A36" i="7"/>
  <c r="A37" i="7"/>
  <c r="A38" i="7"/>
  <c r="A39" i="7"/>
  <c r="A40" i="7"/>
  <c r="A41" i="7"/>
  <c r="A42" i="7"/>
  <c r="A43" i="7"/>
  <c r="E6" i="7"/>
  <c r="D6" i="7"/>
  <c r="E17" i="7"/>
  <c r="I14" i="9"/>
  <c r="H14" i="9"/>
  <c r="G14" i="9"/>
  <c r="F14" i="9"/>
  <c r="E14" i="9"/>
  <c r="D14" i="9"/>
  <c r="C14" i="9"/>
  <c r="D5" i="10"/>
  <c r="D7" i="10" l="1"/>
  <c r="K7" i="10"/>
  <c r="K5" i="10"/>
  <c r="K10" i="10"/>
  <c r="K9" i="10"/>
  <c r="K8" i="10"/>
  <c r="F6" i="10"/>
  <c r="F5" i="10"/>
  <c r="D10" i="10"/>
  <c r="D9" i="10"/>
  <c r="D8" i="10"/>
  <c r="D28" i="10" l="1"/>
  <c r="B28" i="10"/>
  <c r="B14" i="10"/>
  <c r="C14" i="10" s="1"/>
  <c r="M5" i="10"/>
  <c r="M10" i="10" s="1"/>
  <c r="B15" i="10" l="1"/>
  <c r="B16" i="10" s="1"/>
  <c r="B17" i="10" s="1"/>
  <c r="B18" i="10" s="1"/>
  <c r="B19" i="10" s="1"/>
  <c r="B20" i="10" s="1"/>
  <c r="B21" i="10" s="1"/>
  <c r="B22" i="10" s="1"/>
  <c r="B23" i="10" s="1"/>
  <c r="B24" i="10" s="1"/>
  <c r="B25" i="10" s="1"/>
  <c r="C28" i="10"/>
  <c r="C15" i="10" s="1"/>
  <c r="B29" i="10"/>
  <c r="K28" i="10"/>
  <c r="M28" i="10" s="1"/>
  <c r="E28" i="10"/>
  <c r="F28" i="10" s="1"/>
  <c r="I28" i="10" l="1"/>
  <c r="J28" i="10" s="1"/>
  <c r="L28" i="10" s="1"/>
  <c r="D29" i="10" s="1"/>
  <c r="K29" i="10" s="1"/>
  <c r="C29" i="10"/>
  <c r="C16" i="10" s="1"/>
  <c r="E29" i="10"/>
  <c r="M6" i="10" l="1"/>
  <c r="F8" i="7"/>
  <c r="G8" i="7" s="1"/>
  <c r="H8" i="7" s="1"/>
  <c r="E8" i="7"/>
  <c r="D8" i="7"/>
  <c r="E98" i="1"/>
  <c r="E99" i="1"/>
  <c r="G12" i="9"/>
  <c r="F12" i="9"/>
  <c r="D12" i="9"/>
  <c r="H29" i="10"/>
  <c r="E25" i="10"/>
  <c r="E23" i="10"/>
  <c r="E18" i="10"/>
  <c r="D14" i="10"/>
  <c r="H14" i="10"/>
  <c r="F7" i="10"/>
  <c r="E16" i="10"/>
  <c r="F9" i="10"/>
  <c r="J19" i="9" l="1"/>
  <c r="H12" i="9"/>
  <c r="B30" i="10"/>
  <c r="C30" i="10" s="1"/>
  <c r="F29" i="10"/>
  <c r="I29" i="10" s="1"/>
  <c r="J29" i="10" s="1"/>
  <c r="H28" i="10"/>
  <c r="F10" i="10"/>
  <c r="C12" i="9"/>
  <c r="I22" i="9" s="1"/>
  <c r="E20" i="10"/>
  <c r="E22" i="10"/>
  <c r="E17" i="10"/>
  <c r="M7" i="10"/>
  <c r="E24" i="10"/>
  <c r="E19" i="10"/>
  <c r="E21" i="10"/>
  <c r="E14" i="10"/>
  <c r="E12" i="9"/>
  <c r="J9" i="9"/>
  <c r="C17" i="10" l="1"/>
  <c r="H30" i="10"/>
  <c r="I14" i="10"/>
  <c r="K14" i="10" s="1"/>
  <c r="L14" i="10" s="1"/>
  <c r="M29" i="10"/>
  <c r="F14" i="10"/>
  <c r="H15" i="10"/>
  <c r="M14" i="10" l="1"/>
  <c r="B31" i="10"/>
  <c r="C31" i="10" s="1"/>
  <c r="E30" i="10"/>
  <c r="H16" i="10"/>
  <c r="H31" i="10" l="1"/>
  <c r="C18" i="10"/>
  <c r="B32" i="10"/>
  <c r="C32" i="10" s="1"/>
  <c r="E31" i="10"/>
  <c r="L29" i="10"/>
  <c r="D30" i="10" s="1"/>
  <c r="K30" i="10" s="1"/>
  <c r="H17" i="10"/>
  <c r="H32" i="10" l="1"/>
  <c r="C19" i="10"/>
  <c r="M30" i="10"/>
  <c r="B33" i="10"/>
  <c r="C33" i="10" s="1"/>
  <c r="E32" i="10"/>
  <c r="H18" i="10"/>
  <c r="H33" i="10" l="1"/>
  <c r="C20" i="10"/>
  <c r="B34" i="10"/>
  <c r="C34" i="10" s="1"/>
  <c r="E33" i="10"/>
  <c r="F30" i="10"/>
  <c r="I30" i="10" s="1"/>
  <c r="J30" i="10" s="1"/>
  <c r="H19" i="10"/>
  <c r="H34" i="10" l="1"/>
  <c r="C21" i="10"/>
  <c r="L30" i="10"/>
  <c r="D31" i="10" s="1"/>
  <c r="K31" i="10" s="1"/>
  <c r="B35" i="10"/>
  <c r="C35" i="10" s="1"/>
  <c r="E34" i="10"/>
  <c r="H20" i="10"/>
  <c r="H35" i="10" l="1"/>
  <c r="C22" i="10"/>
  <c r="M31" i="10"/>
  <c r="B36" i="10"/>
  <c r="C36" i="10" s="1"/>
  <c r="E35" i="10"/>
  <c r="F31" i="10"/>
  <c r="H21" i="10"/>
  <c r="H36" i="10" l="1"/>
  <c r="C23" i="10"/>
  <c r="I31" i="10"/>
  <c r="J31" i="10" s="1"/>
  <c r="L31" i="10" s="1"/>
  <c r="D32" i="10" s="1"/>
  <c r="K32" i="10" s="1"/>
  <c r="B37" i="10"/>
  <c r="C37" i="10" s="1"/>
  <c r="E36" i="10"/>
  <c r="H22" i="10"/>
  <c r="H37" i="10" l="1"/>
  <c r="C24" i="10"/>
  <c r="M32" i="10"/>
  <c r="B38" i="10"/>
  <c r="C38" i="10" s="1"/>
  <c r="E37" i="10"/>
  <c r="F32" i="10"/>
  <c r="I32" i="10" s="1"/>
  <c r="J32" i="10" s="1"/>
  <c r="H23" i="10"/>
  <c r="H38" i="10" l="1"/>
  <c r="C25" i="10"/>
  <c r="H25" i="10" s="1"/>
  <c r="L32" i="10"/>
  <c r="D33" i="10" s="1"/>
  <c r="K33" i="10" s="1"/>
  <c r="B39" i="10"/>
  <c r="C39" i="10" s="1"/>
  <c r="E38" i="10"/>
  <c r="H24" i="10"/>
  <c r="H39" i="10" l="1"/>
  <c r="F33" i="10"/>
  <c r="M33" i="10"/>
  <c r="B40" i="10"/>
  <c r="C40" i="10" s="1"/>
  <c r="E39" i="10"/>
  <c r="I33" i="10"/>
  <c r="J33" i="10" s="1"/>
  <c r="L33" i="10" s="1"/>
  <c r="D34" i="10" s="1"/>
  <c r="K34" i="10" s="1"/>
  <c r="H40" i="10" l="1"/>
  <c r="M34" i="10"/>
  <c r="B41" i="10"/>
  <c r="C41" i="10" s="1"/>
  <c r="E40" i="10"/>
  <c r="F34" i="10"/>
  <c r="H41" i="10" l="1"/>
  <c r="B42" i="10"/>
  <c r="C42" i="10" s="1"/>
  <c r="E41" i="10"/>
  <c r="I34" i="10"/>
  <c r="J34" i="10" s="1"/>
  <c r="L34" i="10" s="1"/>
  <c r="H42" i="10" l="1"/>
  <c r="D35" i="10"/>
  <c r="B43" i="10"/>
  <c r="C43" i="10" s="1"/>
  <c r="E42" i="10"/>
  <c r="H43" i="10" l="1"/>
  <c r="F35" i="10"/>
  <c r="I35" i="10" s="1"/>
  <c r="K35" i="10"/>
  <c r="M35" i="10" s="1"/>
  <c r="B44" i="10"/>
  <c r="C44" i="10" s="1"/>
  <c r="E43" i="10"/>
  <c r="H44" i="10" l="1"/>
  <c r="J35" i="10"/>
  <c r="L35" i="10" s="1"/>
  <c r="D36" i="10" s="1"/>
  <c r="B45" i="10"/>
  <c r="C45" i="10" s="1"/>
  <c r="E44" i="10"/>
  <c r="H45" i="10" l="1"/>
  <c r="F36" i="10"/>
  <c r="I36" i="10" s="1"/>
  <c r="K36" i="10"/>
  <c r="M36" i="10" s="1"/>
  <c r="B46" i="10"/>
  <c r="C46" i="10" s="1"/>
  <c r="E45" i="10"/>
  <c r="J36" i="10" l="1"/>
  <c r="L36" i="10" s="1"/>
  <c r="D37" i="10" s="1"/>
  <c r="H46" i="10"/>
  <c r="B47" i="10"/>
  <c r="C47" i="10" s="1"/>
  <c r="E46" i="10"/>
  <c r="H47" i="10" l="1"/>
  <c r="F37" i="10"/>
  <c r="I37" i="10" s="1"/>
  <c r="K37" i="10"/>
  <c r="M37" i="10" s="1"/>
  <c r="B48" i="10"/>
  <c r="C48" i="10" s="1"/>
  <c r="E47" i="10"/>
  <c r="H48" i="10" l="1"/>
  <c r="J37" i="10"/>
  <c r="L37" i="10" s="1"/>
  <c r="D38" i="10" s="1"/>
  <c r="B49" i="10"/>
  <c r="C49" i="10" s="1"/>
  <c r="E48" i="10"/>
  <c r="H49" i="10" l="1"/>
  <c r="F38" i="10"/>
  <c r="I38" i="10" s="1"/>
  <c r="K38" i="10"/>
  <c r="M38" i="10" s="1"/>
  <c r="B50" i="10"/>
  <c r="C50" i="10" s="1"/>
  <c r="E49" i="10"/>
  <c r="H50" i="10" l="1"/>
  <c r="J38" i="10"/>
  <c r="L38" i="10" s="1"/>
  <c r="D39" i="10" s="1"/>
  <c r="B51" i="10"/>
  <c r="C51" i="10" s="1"/>
  <c r="E50" i="10"/>
  <c r="H51" i="10" l="1"/>
  <c r="F39" i="10"/>
  <c r="K39" i="10"/>
  <c r="M39" i="10" s="1"/>
  <c r="I39" i="10"/>
  <c r="B52" i="10"/>
  <c r="C52" i="10" s="1"/>
  <c r="E51" i="10"/>
  <c r="H52" i="10" l="1"/>
  <c r="J39" i="10"/>
  <c r="L39" i="10" s="1"/>
  <c r="D40" i="10" s="1"/>
  <c r="B53" i="10"/>
  <c r="C53" i="10" s="1"/>
  <c r="E52" i="10"/>
  <c r="H53" i="10" l="1"/>
  <c r="F40" i="10"/>
  <c r="I40" i="10" s="1"/>
  <c r="K40" i="10"/>
  <c r="M40" i="10" s="1"/>
  <c r="B54" i="10"/>
  <c r="C54" i="10" s="1"/>
  <c r="E53" i="10"/>
  <c r="H54" i="10" l="1"/>
  <c r="J40" i="10"/>
  <c r="L40" i="10" s="1"/>
  <c r="D41" i="10" s="1"/>
  <c r="B55" i="10"/>
  <c r="C55" i="10" s="1"/>
  <c r="E54" i="10"/>
  <c r="H55" i="10" l="1"/>
  <c r="F41" i="10"/>
  <c r="I41" i="10" s="1"/>
  <c r="K41" i="10"/>
  <c r="M41" i="10" s="1"/>
  <c r="B56" i="10"/>
  <c r="C56" i="10" s="1"/>
  <c r="E55" i="10"/>
  <c r="J41" i="10" l="1"/>
  <c r="L41" i="10" s="1"/>
  <c r="H56" i="10"/>
  <c r="D42" i="10"/>
  <c r="B57" i="10"/>
  <c r="C57" i="10" s="1"/>
  <c r="E56" i="10"/>
  <c r="H57" i="10" l="1"/>
  <c r="F42" i="10"/>
  <c r="I42" i="10" s="1"/>
  <c r="K42" i="10"/>
  <c r="M42" i="10" s="1"/>
  <c r="B58" i="10"/>
  <c r="C58" i="10" s="1"/>
  <c r="E57" i="10"/>
  <c r="H58" i="10" l="1"/>
  <c r="J42" i="10"/>
  <c r="L42" i="10" s="1"/>
  <c r="D43" i="10" s="1"/>
  <c r="B59" i="10"/>
  <c r="C59" i="10" s="1"/>
  <c r="E58" i="10"/>
  <c r="H59" i="10" l="1"/>
  <c r="F43" i="10"/>
  <c r="I43" i="10" s="1"/>
  <c r="K43" i="10"/>
  <c r="M43" i="10" s="1"/>
  <c r="B60" i="10"/>
  <c r="C60" i="10" s="1"/>
  <c r="E59" i="10"/>
  <c r="H60" i="10" l="1"/>
  <c r="J43" i="10"/>
  <c r="L43" i="10" s="1"/>
  <c r="D44" i="10" s="1"/>
  <c r="B61" i="10"/>
  <c r="C61" i="10" s="1"/>
  <c r="E60" i="10"/>
  <c r="H61" i="10" l="1"/>
  <c r="F44" i="10"/>
  <c r="I44" i="10" s="1"/>
  <c r="K44" i="10"/>
  <c r="M44" i="10" s="1"/>
  <c r="B62" i="10"/>
  <c r="C62" i="10" s="1"/>
  <c r="E61" i="10"/>
  <c r="H62" i="10" l="1"/>
  <c r="J44" i="10"/>
  <c r="L44" i="10" s="1"/>
  <c r="D45" i="10" s="1"/>
  <c r="B63" i="10"/>
  <c r="C63" i="10" s="1"/>
  <c r="E62" i="10"/>
  <c r="H63" i="10" l="1"/>
  <c r="F45" i="10"/>
  <c r="I45" i="10" s="1"/>
  <c r="K45" i="10"/>
  <c r="M45" i="10" s="1"/>
  <c r="B64" i="10"/>
  <c r="C64" i="10" s="1"/>
  <c r="E63" i="10"/>
  <c r="H64" i="10" l="1"/>
  <c r="J45" i="10"/>
  <c r="L45" i="10" s="1"/>
  <c r="D46" i="10" s="1"/>
  <c r="B65" i="10"/>
  <c r="C65" i="10" s="1"/>
  <c r="E64" i="10"/>
  <c r="H65" i="10" l="1"/>
  <c r="F46" i="10"/>
  <c r="K46" i="10"/>
  <c r="M46" i="10" s="1"/>
  <c r="I46" i="10"/>
  <c r="B66" i="10"/>
  <c r="C66" i="10" s="1"/>
  <c r="E65" i="10"/>
  <c r="J46" i="10" l="1"/>
  <c r="L46" i="10" s="1"/>
  <c r="H66" i="10"/>
  <c r="D47" i="10"/>
  <c r="B67" i="10"/>
  <c r="C67" i="10" s="1"/>
  <c r="E66" i="10"/>
  <c r="H67" i="10" l="1"/>
  <c r="F47" i="10"/>
  <c r="I47" i="10" s="1"/>
  <c r="K47" i="10"/>
  <c r="M47" i="10" s="1"/>
  <c r="B68" i="10"/>
  <c r="C68" i="10" s="1"/>
  <c r="E67" i="10"/>
  <c r="H68" i="10" l="1"/>
  <c r="J47" i="10"/>
  <c r="L47" i="10" s="1"/>
  <c r="D48" i="10" s="1"/>
  <c r="B69" i="10"/>
  <c r="C69" i="10" s="1"/>
  <c r="E68" i="10"/>
  <c r="H69" i="10" l="1"/>
  <c r="F48" i="10"/>
  <c r="I48" i="10" s="1"/>
  <c r="K48" i="10"/>
  <c r="M48" i="10" s="1"/>
  <c r="B70" i="10"/>
  <c r="C70" i="10" s="1"/>
  <c r="E69" i="10"/>
  <c r="J48" i="10" l="1"/>
  <c r="L48" i="10" s="1"/>
  <c r="D49" i="10" s="1"/>
  <c r="H70" i="10"/>
  <c r="B71" i="10"/>
  <c r="C71" i="10" s="1"/>
  <c r="E70" i="10"/>
  <c r="H71" i="10" l="1"/>
  <c r="F49" i="10"/>
  <c r="I49" i="10" s="1"/>
  <c r="K49" i="10"/>
  <c r="M49" i="10" s="1"/>
  <c r="B72" i="10"/>
  <c r="C72" i="10" s="1"/>
  <c r="E71" i="10"/>
  <c r="H72" i="10" l="1"/>
  <c r="J49" i="10"/>
  <c r="L49" i="10" s="1"/>
  <c r="D50" i="10" s="1"/>
  <c r="B73" i="10"/>
  <c r="C73" i="10" s="1"/>
  <c r="E72" i="10"/>
  <c r="H73" i="10" l="1"/>
  <c r="F50" i="10"/>
  <c r="I50" i="10" s="1"/>
  <c r="K50" i="10"/>
  <c r="M50" i="10" s="1"/>
  <c r="B74" i="10"/>
  <c r="C74" i="10" s="1"/>
  <c r="E73" i="10"/>
  <c r="H74" i="10" l="1"/>
  <c r="J50" i="10"/>
  <c r="L50" i="10" s="1"/>
  <c r="D51" i="10" s="1"/>
  <c r="B75" i="10"/>
  <c r="C75" i="10" s="1"/>
  <c r="E74" i="10"/>
  <c r="H75" i="10" l="1"/>
  <c r="F51" i="10"/>
  <c r="I51" i="10" s="1"/>
  <c r="K51" i="10"/>
  <c r="M51" i="10" s="1"/>
  <c r="B76" i="10"/>
  <c r="C76" i="10" s="1"/>
  <c r="E75" i="10"/>
  <c r="J51" i="10" l="1"/>
  <c r="L51" i="10" s="1"/>
  <c r="D52" i="10" s="1"/>
  <c r="H76" i="10"/>
  <c r="B77" i="10"/>
  <c r="C77" i="10" s="1"/>
  <c r="E76" i="10"/>
  <c r="H77" i="10" l="1"/>
  <c r="F52" i="10"/>
  <c r="I52" i="10" s="1"/>
  <c r="K52" i="10"/>
  <c r="M52" i="10" s="1"/>
  <c r="B78" i="10"/>
  <c r="C78" i="10" s="1"/>
  <c r="E77" i="10"/>
  <c r="J52" i="10" l="1"/>
  <c r="L52" i="10" s="1"/>
  <c r="D53" i="10" s="1"/>
  <c r="H78" i="10"/>
  <c r="B79" i="10"/>
  <c r="C79" i="10" s="1"/>
  <c r="E78" i="10"/>
  <c r="H79" i="10" l="1"/>
  <c r="F53" i="10"/>
  <c r="I53" i="10" s="1"/>
  <c r="K53" i="10"/>
  <c r="M53" i="10" s="1"/>
  <c r="E79" i="10"/>
  <c r="B80" i="10"/>
  <c r="C80" i="10" s="1"/>
  <c r="J53" i="10" l="1"/>
  <c r="L53" i="10" s="1"/>
  <c r="H80" i="10"/>
  <c r="D54" i="10"/>
  <c r="E80" i="10"/>
  <c r="B81" i="10"/>
  <c r="C81" i="10" s="1"/>
  <c r="H81" i="10" l="1"/>
  <c r="F54" i="10"/>
  <c r="K54" i="10"/>
  <c r="M54" i="10" s="1"/>
  <c r="I54" i="10"/>
  <c r="B82" i="10"/>
  <c r="C82" i="10" s="1"/>
  <c r="E81" i="10"/>
  <c r="J54" i="10" l="1"/>
  <c r="L54" i="10" s="1"/>
  <c r="D55" i="10" s="1"/>
  <c r="H82" i="10"/>
  <c r="B83" i="10"/>
  <c r="C83" i="10" s="1"/>
  <c r="E82" i="10"/>
  <c r="H83" i="10" l="1"/>
  <c r="F55" i="10"/>
  <c r="I55" i="10" s="1"/>
  <c r="K55" i="10"/>
  <c r="M55" i="10" s="1"/>
  <c r="B84" i="10"/>
  <c r="C84" i="10" s="1"/>
  <c r="E83" i="10"/>
  <c r="J55" i="10" l="1"/>
  <c r="L55" i="10" s="1"/>
  <c r="D56" i="10" s="1"/>
  <c r="H84" i="10"/>
  <c r="B85" i="10"/>
  <c r="C85" i="10" s="1"/>
  <c r="E84" i="10"/>
  <c r="H85" i="10" l="1"/>
  <c r="F56" i="10"/>
  <c r="I56" i="10" s="1"/>
  <c r="K56" i="10"/>
  <c r="M56" i="10" s="1"/>
  <c r="B86" i="10"/>
  <c r="C86" i="10" s="1"/>
  <c r="E85" i="10"/>
  <c r="H86" i="10" l="1"/>
  <c r="J56" i="10"/>
  <c r="L56" i="10" s="1"/>
  <c r="D57" i="10" s="1"/>
  <c r="B87" i="10"/>
  <c r="C87" i="10" s="1"/>
  <c r="E86" i="10"/>
  <c r="H87" i="10" l="1"/>
  <c r="F57" i="10"/>
  <c r="I57" i="10" s="1"/>
  <c r="K57" i="10"/>
  <c r="M57" i="10" s="1"/>
  <c r="B88" i="10"/>
  <c r="C88" i="10" s="1"/>
  <c r="E87" i="10"/>
  <c r="H88" i="10" l="1"/>
  <c r="J57" i="10"/>
  <c r="L57" i="10" s="1"/>
  <c r="D58" i="10" s="1"/>
  <c r="B89" i="10"/>
  <c r="C89" i="10" s="1"/>
  <c r="E88" i="10"/>
  <c r="H89" i="10" l="1"/>
  <c r="F58" i="10"/>
  <c r="I58" i="10" s="1"/>
  <c r="K58" i="10"/>
  <c r="M58" i="10" s="1"/>
  <c r="B90" i="10"/>
  <c r="C90" i="10" s="1"/>
  <c r="E89" i="10"/>
  <c r="H90" i="10" l="1"/>
  <c r="J58" i="10"/>
  <c r="L58" i="10" s="1"/>
  <c r="D59" i="10" s="1"/>
  <c r="B91" i="10"/>
  <c r="C91" i="10" s="1"/>
  <c r="E90" i="10"/>
  <c r="H91" i="10" l="1"/>
  <c r="F59" i="10"/>
  <c r="I59" i="10" s="1"/>
  <c r="K59" i="10"/>
  <c r="M59" i="10" s="1"/>
  <c r="B92" i="10"/>
  <c r="C92" i="10" s="1"/>
  <c r="E91" i="10"/>
  <c r="H92" i="10" l="1"/>
  <c r="J59" i="10"/>
  <c r="L59" i="10" s="1"/>
  <c r="D60" i="10" s="1"/>
  <c r="B93" i="10"/>
  <c r="C93" i="10" s="1"/>
  <c r="E92" i="10"/>
  <c r="H93" i="10" l="1"/>
  <c r="F60" i="10"/>
  <c r="I60" i="10" s="1"/>
  <c r="K60" i="10"/>
  <c r="M60" i="10" s="1"/>
  <c r="B94" i="10"/>
  <c r="C94" i="10" s="1"/>
  <c r="E93" i="10"/>
  <c r="H94" i="10" l="1"/>
  <c r="J60" i="10"/>
  <c r="L60" i="10" s="1"/>
  <c r="D61" i="10" s="1"/>
  <c r="B95" i="10"/>
  <c r="C95" i="10" s="1"/>
  <c r="E94" i="10"/>
  <c r="H95" i="10" l="1"/>
  <c r="F61" i="10"/>
  <c r="I61" i="10" s="1"/>
  <c r="K61" i="10"/>
  <c r="M61" i="10" s="1"/>
  <c r="B96" i="10"/>
  <c r="C96" i="10" s="1"/>
  <c r="E95" i="10"/>
  <c r="H96" i="10" l="1"/>
  <c r="J61" i="10"/>
  <c r="L61" i="10" s="1"/>
  <c r="D62" i="10" s="1"/>
  <c r="B97" i="10"/>
  <c r="C97" i="10" s="1"/>
  <c r="E96" i="10"/>
  <c r="H97" i="10" l="1"/>
  <c r="F62" i="10"/>
  <c r="I62" i="10" s="1"/>
  <c r="K62" i="10"/>
  <c r="M62" i="10" s="1"/>
  <c r="B98" i="10"/>
  <c r="C98" i="10" s="1"/>
  <c r="E97" i="10"/>
  <c r="H98" i="10" l="1"/>
  <c r="J62" i="10"/>
  <c r="L62" i="10" s="1"/>
  <c r="D63" i="10" s="1"/>
  <c r="B99" i="10"/>
  <c r="C99" i="10" s="1"/>
  <c r="E98" i="10"/>
  <c r="H99" i="10" l="1"/>
  <c r="F63" i="10"/>
  <c r="K63" i="10"/>
  <c r="M63" i="10" s="1"/>
  <c r="I63" i="10"/>
  <c r="B100" i="10"/>
  <c r="C100" i="10" s="1"/>
  <c r="E99" i="10"/>
  <c r="H100" i="10" l="1"/>
  <c r="J63" i="10"/>
  <c r="L63" i="10" s="1"/>
  <c r="D64" i="10" s="1"/>
  <c r="B101" i="10"/>
  <c r="C101" i="10" s="1"/>
  <c r="E100" i="10"/>
  <c r="H101" i="10" l="1"/>
  <c r="F64" i="10"/>
  <c r="I64" i="10" s="1"/>
  <c r="K64" i="10"/>
  <c r="M64" i="10" s="1"/>
  <c r="B102" i="10"/>
  <c r="C102" i="10" s="1"/>
  <c r="E101" i="10"/>
  <c r="J64" i="10" l="1"/>
  <c r="L64" i="10" s="1"/>
  <c r="H102" i="10"/>
  <c r="D65" i="10"/>
  <c r="B103" i="10"/>
  <c r="C103" i="10" s="1"/>
  <c r="E102" i="10"/>
  <c r="H103" i="10" l="1"/>
  <c r="F65" i="10"/>
  <c r="K65" i="10"/>
  <c r="M65" i="10" s="1"/>
  <c r="I65" i="10"/>
  <c r="B104" i="10"/>
  <c r="C104" i="10" s="1"/>
  <c r="E103" i="10"/>
  <c r="H104" i="10" l="1"/>
  <c r="J65" i="10"/>
  <c r="L65" i="10" s="1"/>
  <c r="D66" i="10" s="1"/>
  <c r="B105" i="10"/>
  <c r="C105" i="10" s="1"/>
  <c r="E104" i="10"/>
  <c r="H105" i="10" l="1"/>
  <c r="F66" i="10"/>
  <c r="I66" i="10" s="1"/>
  <c r="K66" i="10"/>
  <c r="M66" i="10" s="1"/>
  <c r="B106" i="10"/>
  <c r="C106" i="10" s="1"/>
  <c r="E105" i="10"/>
  <c r="J66" i="10" l="1"/>
  <c r="L66" i="10" s="1"/>
  <c r="D67" i="10" s="1"/>
  <c r="H106" i="10"/>
  <c r="B107" i="10"/>
  <c r="C107" i="10" s="1"/>
  <c r="E106" i="10"/>
  <c r="H107" i="10" l="1"/>
  <c r="F67" i="10"/>
  <c r="I67" i="10" s="1"/>
  <c r="K67" i="10"/>
  <c r="M67" i="10" s="1"/>
  <c r="B108" i="10"/>
  <c r="C108" i="10" s="1"/>
  <c r="E107" i="10"/>
  <c r="H108" i="10" l="1"/>
  <c r="J67" i="10"/>
  <c r="L67" i="10" s="1"/>
  <c r="D68" i="10" s="1"/>
  <c r="B109" i="10"/>
  <c r="C109" i="10" s="1"/>
  <c r="E108" i="10"/>
  <c r="H109" i="10" l="1"/>
  <c r="F68" i="10"/>
  <c r="I68" i="10" s="1"/>
  <c r="K68" i="10"/>
  <c r="M68" i="10" s="1"/>
  <c r="B110" i="10"/>
  <c r="C110" i="10" s="1"/>
  <c r="E109" i="10"/>
  <c r="J68" i="10" l="1"/>
  <c r="L68" i="10" s="1"/>
  <c r="D69" i="10" s="1"/>
  <c r="H110" i="10"/>
  <c r="B111" i="10"/>
  <c r="C111" i="10" s="1"/>
  <c r="E110" i="10"/>
  <c r="H111" i="10" l="1"/>
  <c r="F69" i="10"/>
  <c r="I69" i="10" s="1"/>
  <c r="K69" i="10"/>
  <c r="M69" i="10" s="1"/>
  <c r="B112" i="10"/>
  <c r="C112" i="10" s="1"/>
  <c r="E111" i="10"/>
  <c r="H112" i="10" l="1"/>
  <c r="J69" i="10"/>
  <c r="L69" i="10" s="1"/>
  <c r="D70" i="10" s="1"/>
  <c r="B113" i="10"/>
  <c r="C113" i="10" s="1"/>
  <c r="E112" i="10"/>
  <c r="H113" i="10" l="1"/>
  <c r="F70" i="10"/>
  <c r="I70" i="10" s="1"/>
  <c r="K70" i="10"/>
  <c r="M70" i="10" s="1"/>
  <c r="B114" i="10"/>
  <c r="C114" i="10" s="1"/>
  <c r="E113" i="10"/>
  <c r="H114" i="10" l="1"/>
  <c r="J70" i="10"/>
  <c r="L70" i="10" s="1"/>
  <c r="D71" i="10" s="1"/>
  <c r="E114" i="10"/>
  <c r="B115" i="10"/>
  <c r="C115" i="10" s="1"/>
  <c r="H115" i="10" l="1"/>
  <c r="F71" i="10"/>
  <c r="I71" i="10" s="1"/>
  <c r="K71" i="10"/>
  <c r="M71" i="10" s="1"/>
  <c r="B116" i="10"/>
  <c r="C116" i="10" s="1"/>
  <c r="E115" i="10"/>
  <c r="J71" i="10" l="1"/>
  <c r="L71" i="10" s="1"/>
  <c r="D72" i="10" s="1"/>
  <c r="H116" i="10"/>
  <c r="B117" i="10"/>
  <c r="C117" i="10" s="1"/>
  <c r="E116" i="10"/>
  <c r="H117" i="10" l="1"/>
  <c r="F72" i="10"/>
  <c r="I72" i="10" s="1"/>
  <c r="K72" i="10"/>
  <c r="M72" i="10" s="1"/>
  <c r="B118" i="10"/>
  <c r="C118" i="10" s="1"/>
  <c r="E117" i="10"/>
  <c r="J72" i="10" l="1"/>
  <c r="L72" i="10" s="1"/>
  <c r="H118" i="10"/>
  <c r="D73" i="10"/>
  <c r="B119" i="10"/>
  <c r="C119" i="10" s="1"/>
  <c r="E118" i="10"/>
  <c r="H119" i="10" l="1"/>
  <c r="F73" i="10"/>
  <c r="K73" i="10"/>
  <c r="M73" i="10" s="1"/>
  <c r="I73" i="10"/>
  <c r="E119" i="10"/>
  <c r="B120" i="10"/>
  <c r="C120" i="10" s="1"/>
  <c r="J73" i="10" l="1"/>
  <c r="L73" i="10" s="1"/>
  <c r="D74" i="10" s="1"/>
  <c r="H120" i="10"/>
  <c r="B121" i="10"/>
  <c r="C121" i="10" s="1"/>
  <c r="E120" i="10"/>
  <c r="H121" i="10" l="1"/>
  <c r="F74" i="10"/>
  <c r="I74" i="10" s="1"/>
  <c r="K74" i="10"/>
  <c r="M74" i="10" s="1"/>
  <c r="B122" i="10"/>
  <c r="C122" i="10" s="1"/>
  <c r="E121" i="10"/>
  <c r="H122" i="10" l="1"/>
  <c r="J74" i="10"/>
  <c r="L74" i="10" s="1"/>
  <c r="D75" i="10" s="1"/>
  <c r="B123" i="10"/>
  <c r="C123" i="10" s="1"/>
  <c r="E122" i="10"/>
  <c r="H123" i="10" l="1"/>
  <c r="F75" i="10"/>
  <c r="I75" i="10" s="1"/>
  <c r="K75" i="10"/>
  <c r="M75" i="10" s="1"/>
  <c r="B124" i="10"/>
  <c r="C124" i="10" s="1"/>
  <c r="E123" i="10"/>
  <c r="J75" i="10" l="1"/>
  <c r="L75" i="10" s="1"/>
  <c r="H124" i="10"/>
  <c r="D76" i="10"/>
  <c r="B125" i="10"/>
  <c r="C125" i="10" s="1"/>
  <c r="E124" i="10"/>
  <c r="H125" i="10" l="1"/>
  <c r="F76" i="10"/>
  <c r="I76" i="10" s="1"/>
  <c r="K76" i="10"/>
  <c r="M76" i="10" s="1"/>
  <c r="B126" i="10"/>
  <c r="C126" i="10" s="1"/>
  <c r="E125" i="10"/>
  <c r="H126" i="10" l="1"/>
  <c r="J76" i="10"/>
  <c r="L76" i="10" s="1"/>
  <c r="D77" i="10" s="1"/>
  <c r="B127" i="10"/>
  <c r="C127" i="10" s="1"/>
  <c r="E126" i="10"/>
  <c r="H127" i="10" l="1"/>
  <c r="F77" i="10"/>
  <c r="I77" i="10" s="1"/>
  <c r="K77" i="10"/>
  <c r="M77" i="10" s="1"/>
  <c r="B128" i="10"/>
  <c r="C128" i="10" s="1"/>
  <c r="E127" i="10"/>
  <c r="J77" i="10" l="1"/>
  <c r="L77" i="10" s="1"/>
  <c r="D78" i="10" s="1"/>
  <c r="H128" i="10"/>
  <c r="B129" i="10"/>
  <c r="C129" i="10" s="1"/>
  <c r="E128" i="10"/>
  <c r="H129" i="10" l="1"/>
  <c r="F78" i="10"/>
  <c r="I78" i="10" s="1"/>
  <c r="K78" i="10"/>
  <c r="M78" i="10" s="1"/>
  <c r="B130" i="10"/>
  <c r="C130" i="10" s="1"/>
  <c r="E129" i="10"/>
  <c r="J78" i="10" l="1"/>
  <c r="L78" i="10" s="1"/>
  <c r="H130" i="10"/>
  <c r="D79" i="10"/>
  <c r="B131" i="10"/>
  <c r="C131" i="10" s="1"/>
  <c r="E130" i="10"/>
  <c r="H131" i="10" l="1"/>
  <c r="F79" i="10"/>
  <c r="I79" i="10" s="1"/>
  <c r="K79" i="10"/>
  <c r="M79" i="10" s="1"/>
  <c r="B132" i="10"/>
  <c r="C132" i="10" s="1"/>
  <c r="E131" i="10"/>
  <c r="H132" i="10" l="1"/>
  <c r="J79" i="10"/>
  <c r="L79" i="10" s="1"/>
  <c r="D80" i="10" s="1"/>
  <c r="B133" i="10"/>
  <c r="C133" i="10" s="1"/>
  <c r="E132" i="10"/>
  <c r="H133" i="10" l="1"/>
  <c r="F80" i="10"/>
  <c r="I80" i="10" s="1"/>
  <c r="K80" i="10"/>
  <c r="M80" i="10" s="1"/>
  <c r="B134" i="10"/>
  <c r="C134" i="10" s="1"/>
  <c r="E133" i="10"/>
  <c r="J80" i="10" l="1"/>
  <c r="L80" i="10" s="1"/>
  <c r="D81" i="10" s="1"/>
  <c r="H134" i="10"/>
  <c r="B135" i="10"/>
  <c r="C135" i="10" s="1"/>
  <c r="E134" i="10"/>
  <c r="H135" i="10" l="1"/>
  <c r="F81" i="10"/>
  <c r="I81" i="10" s="1"/>
  <c r="K81" i="10"/>
  <c r="M81" i="10" s="1"/>
  <c r="B136" i="10"/>
  <c r="C136" i="10" s="1"/>
  <c r="E135" i="10"/>
  <c r="H136" i="10" l="1"/>
  <c r="J81" i="10"/>
  <c r="L81" i="10" s="1"/>
  <c r="D82" i="10" s="1"/>
  <c r="B137" i="10"/>
  <c r="C137" i="10" s="1"/>
  <c r="E136" i="10"/>
  <c r="H137" i="10" l="1"/>
  <c r="F82" i="10"/>
  <c r="I82" i="10" s="1"/>
  <c r="K82" i="10"/>
  <c r="M82" i="10" s="1"/>
  <c r="B138" i="10"/>
  <c r="C138" i="10" s="1"/>
  <c r="E137" i="10"/>
  <c r="J82" i="10" l="1"/>
  <c r="L82" i="10" s="1"/>
  <c r="D83" i="10" s="1"/>
  <c r="H138" i="10"/>
  <c r="B139" i="10"/>
  <c r="C139" i="10" s="1"/>
  <c r="E138" i="10"/>
  <c r="H139" i="10" l="1"/>
  <c r="F83" i="10"/>
  <c r="I83" i="10" s="1"/>
  <c r="K83" i="10"/>
  <c r="M83" i="10" s="1"/>
  <c r="B140" i="10"/>
  <c r="C140" i="10" s="1"/>
  <c r="E139" i="10"/>
  <c r="J83" i="10" l="1"/>
  <c r="L83" i="10" s="1"/>
  <c r="D84" i="10" s="1"/>
  <c r="H140" i="10"/>
  <c r="B141" i="10"/>
  <c r="C141" i="10" s="1"/>
  <c r="E140" i="10"/>
  <c r="H141" i="10" l="1"/>
  <c r="F84" i="10"/>
  <c r="I84" i="10" s="1"/>
  <c r="K84" i="10"/>
  <c r="M84" i="10" s="1"/>
  <c r="B142" i="10"/>
  <c r="C142" i="10" s="1"/>
  <c r="E141" i="10"/>
  <c r="J84" i="10" l="1"/>
  <c r="L84" i="10" s="1"/>
  <c r="D85" i="10" s="1"/>
  <c r="H142" i="10"/>
  <c r="B143" i="10"/>
  <c r="C143" i="10" s="1"/>
  <c r="E142" i="10"/>
  <c r="H143" i="10" l="1"/>
  <c r="F85" i="10"/>
  <c r="I85" i="10" s="1"/>
  <c r="K85" i="10"/>
  <c r="M85" i="10" s="1"/>
  <c r="E143" i="10"/>
  <c r="B144" i="10"/>
  <c r="C144" i="10" s="1"/>
  <c r="H144" i="10" l="1"/>
  <c r="J85" i="10"/>
  <c r="L85" i="10" s="1"/>
  <c r="D86" i="10" s="1"/>
  <c r="B145" i="10"/>
  <c r="C145" i="10" s="1"/>
  <c r="E144" i="10"/>
  <c r="H145" i="10" l="1"/>
  <c r="F86" i="10"/>
  <c r="I86" i="10" s="1"/>
  <c r="K86" i="10"/>
  <c r="M86" i="10" s="1"/>
  <c r="B146" i="10"/>
  <c r="C146" i="10" s="1"/>
  <c r="E145" i="10"/>
  <c r="H146" i="10" l="1"/>
  <c r="J86" i="10"/>
  <c r="L86" i="10" s="1"/>
  <c r="D87" i="10" s="1"/>
  <c r="E146" i="10"/>
  <c r="B147" i="10"/>
  <c r="C147" i="10" s="1"/>
  <c r="H147" i="10" l="1"/>
  <c r="F87" i="10"/>
  <c r="I87" i="10" s="1"/>
  <c r="K87" i="10"/>
  <c r="M87" i="10" s="1"/>
  <c r="B148" i="10"/>
  <c r="E147" i="10"/>
  <c r="C148" i="10" l="1"/>
  <c r="H148" i="10" s="1"/>
  <c r="J87" i="10"/>
  <c r="L87" i="10" s="1"/>
  <c r="D88" i="10" s="1"/>
  <c r="E148" i="10"/>
  <c r="F88" i="10" l="1"/>
  <c r="K88" i="10"/>
  <c r="M88" i="10" s="1"/>
  <c r="I88" i="10"/>
  <c r="J88" i="10" l="1"/>
  <c r="L88" i="10" s="1"/>
  <c r="D89" i="10" s="1"/>
  <c r="F89" i="10" l="1"/>
  <c r="K89" i="10"/>
  <c r="M89" i="10" s="1"/>
  <c r="I89" i="10"/>
  <c r="J89" i="10" l="1"/>
  <c r="L89" i="10" s="1"/>
  <c r="D90" i="10" s="1"/>
  <c r="F90" i="10" l="1"/>
  <c r="I90" i="10" s="1"/>
  <c r="K90" i="10"/>
  <c r="M90" i="10" s="1"/>
  <c r="J90" i="10" l="1"/>
  <c r="L90" i="10" s="1"/>
  <c r="D91" i="10" s="1"/>
  <c r="F91" i="10" l="1"/>
  <c r="K91" i="10"/>
  <c r="M91" i="10" s="1"/>
  <c r="I91" i="10"/>
  <c r="J91" i="10" l="1"/>
  <c r="L91" i="10" s="1"/>
  <c r="D92" i="10" s="1"/>
  <c r="F92" i="10" l="1"/>
  <c r="I92" i="10" s="1"/>
  <c r="K92" i="10"/>
  <c r="M92" i="10" s="1"/>
  <c r="J92" i="10" l="1"/>
  <c r="L92" i="10" s="1"/>
  <c r="D93" i="10" s="1"/>
  <c r="F93" i="10" l="1"/>
  <c r="K93" i="10"/>
  <c r="M93" i="10" s="1"/>
  <c r="I93" i="10"/>
  <c r="J93" i="10" l="1"/>
  <c r="L93" i="10" s="1"/>
  <c r="D94" i="10" s="1"/>
  <c r="F94" i="10" l="1"/>
  <c r="I94" i="10" s="1"/>
  <c r="K94" i="10"/>
  <c r="M94" i="10" s="1"/>
  <c r="J94" i="10" l="1"/>
  <c r="L94" i="10" s="1"/>
  <c r="D95" i="10" s="1"/>
  <c r="F95" i="10" l="1"/>
  <c r="K95" i="10"/>
  <c r="M95" i="10" s="1"/>
  <c r="I95" i="10"/>
  <c r="J95" i="10" l="1"/>
  <c r="L95" i="10" s="1"/>
  <c r="D96" i="10" s="1"/>
  <c r="F96" i="10" l="1"/>
  <c r="K96" i="10"/>
  <c r="M96" i="10" s="1"/>
  <c r="I96" i="10"/>
  <c r="J96" i="10" l="1"/>
  <c r="L96" i="10" s="1"/>
  <c r="D97" i="10" s="1"/>
  <c r="F97" i="10" l="1"/>
  <c r="I97" i="10" s="1"/>
  <c r="K97" i="10"/>
  <c r="M97" i="10" s="1"/>
  <c r="J97" i="10" l="1"/>
  <c r="L97" i="10" s="1"/>
  <c r="D98" i="10" s="1"/>
  <c r="F98" i="10" l="1"/>
  <c r="I98" i="10" s="1"/>
  <c r="K98" i="10"/>
  <c r="M98" i="10" s="1"/>
  <c r="J98" i="10" l="1"/>
  <c r="L98" i="10" s="1"/>
  <c r="D99" i="10" s="1"/>
  <c r="F99" i="10" l="1"/>
  <c r="I99" i="10" s="1"/>
  <c r="K99" i="10"/>
  <c r="M99" i="10" s="1"/>
  <c r="J99" i="10" l="1"/>
  <c r="L99" i="10" s="1"/>
  <c r="D100" i="10" s="1"/>
  <c r="F100" i="10" l="1"/>
  <c r="K100" i="10"/>
  <c r="M100" i="10" s="1"/>
  <c r="I100" i="10"/>
  <c r="J100" i="10" l="1"/>
  <c r="L100" i="10" s="1"/>
  <c r="D101" i="10" s="1"/>
  <c r="F101" i="10" l="1"/>
  <c r="K101" i="10"/>
  <c r="M101" i="10" s="1"/>
  <c r="I101" i="10"/>
  <c r="J101" i="10" l="1"/>
  <c r="L101" i="10" s="1"/>
  <c r="D102" i="10"/>
  <c r="F102" i="10" l="1"/>
  <c r="K102" i="10"/>
  <c r="M102" i="10" s="1"/>
  <c r="I102" i="10"/>
  <c r="J102" i="10" l="1"/>
  <c r="L102" i="10" s="1"/>
  <c r="D103" i="10" s="1"/>
  <c r="F103" i="10" l="1"/>
  <c r="K103" i="10"/>
  <c r="M103" i="10" s="1"/>
  <c r="I103" i="10"/>
  <c r="J103" i="10" l="1"/>
  <c r="L103" i="10" s="1"/>
  <c r="D104" i="10" s="1"/>
  <c r="F104" i="10" l="1"/>
  <c r="I104" i="10" s="1"/>
  <c r="K104" i="10"/>
  <c r="M104" i="10" s="1"/>
  <c r="J104" i="10" l="1"/>
  <c r="L104" i="10" s="1"/>
  <c r="D105" i="10" s="1"/>
  <c r="F105" i="10" l="1"/>
  <c r="I105" i="10" s="1"/>
  <c r="K105" i="10"/>
  <c r="M105" i="10" s="1"/>
  <c r="J105" i="10" l="1"/>
  <c r="L105" i="10" s="1"/>
  <c r="D106" i="10" s="1"/>
  <c r="F106" i="10" l="1"/>
  <c r="K106" i="10"/>
  <c r="M106" i="10" s="1"/>
  <c r="I106" i="10"/>
  <c r="J106" i="10" l="1"/>
  <c r="L106" i="10" s="1"/>
  <c r="D107" i="10" s="1"/>
  <c r="F107" i="10" l="1"/>
  <c r="K107" i="10"/>
  <c r="M107" i="10" s="1"/>
  <c r="I107" i="10"/>
  <c r="J107" i="10" l="1"/>
  <c r="L107" i="10" s="1"/>
  <c r="D108" i="10" s="1"/>
  <c r="F108" i="10" l="1"/>
  <c r="K108" i="10"/>
  <c r="M108" i="10" s="1"/>
  <c r="I108" i="10"/>
  <c r="J108" i="10" l="1"/>
  <c r="L108" i="10" s="1"/>
  <c r="D109" i="10" s="1"/>
  <c r="F109" i="10" l="1"/>
  <c r="K109" i="10"/>
  <c r="M109" i="10" s="1"/>
  <c r="I109" i="10"/>
  <c r="J109" i="10" l="1"/>
  <c r="L109" i="10" s="1"/>
  <c r="D110" i="10" s="1"/>
  <c r="F110" i="10" l="1"/>
  <c r="K110" i="10"/>
  <c r="M110" i="10" s="1"/>
  <c r="I110" i="10"/>
  <c r="J110" i="10" l="1"/>
  <c r="L110" i="10" s="1"/>
  <c r="D111" i="10" s="1"/>
  <c r="F111" i="10" l="1"/>
  <c r="K111" i="10"/>
  <c r="M111" i="10" s="1"/>
  <c r="I111" i="10"/>
  <c r="J111" i="10" l="1"/>
  <c r="L111" i="10" s="1"/>
  <c r="D112" i="10" s="1"/>
  <c r="F112" i="10" l="1"/>
  <c r="K112" i="10"/>
  <c r="M112" i="10" s="1"/>
  <c r="I112" i="10"/>
  <c r="J112" i="10" l="1"/>
  <c r="L112" i="10" s="1"/>
  <c r="D113" i="10" s="1"/>
  <c r="F113" i="10" l="1"/>
  <c r="K113" i="10"/>
  <c r="M113" i="10" s="1"/>
  <c r="I113" i="10"/>
  <c r="J113" i="10" l="1"/>
  <c r="L113" i="10" s="1"/>
  <c r="D114" i="10" s="1"/>
  <c r="F114" i="10" l="1"/>
  <c r="K114" i="10"/>
  <c r="M114" i="10" s="1"/>
  <c r="I114" i="10"/>
  <c r="J114" i="10" l="1"/>
  <c r="L114" i="10" s="1"/>
  <c r="D115" i="10" s="1"/>
  <c r="F115" i="10" l="1"/>
  <c r="K115" i="10"/>
  <c r="M115" i="10" s="1"/>
  <c r="I115" i="10"/>
  <c r="J115" i="10" l="1"/>
  <c r="L115" i="10" s="1"/>
  <c r="D116" i="10" s="1"/>
  <c r="F116" i="10" l="1"/>
  <c r="K116" i="10"/>
  <c r="M116" i="10" s="1"/>
  <c r="I116" i="10"/>
  <c r="J116" i="10" l="1"/>
  <c r="L116" i="10" s="1"/>
  <c r="D117" i="10" s="1"/>
  <c r="F117" i="10" l="1"/>
  <c r="K117" i="10"/>
  <c r="M117" i="10" s="1"/>
  <c r="I117" i="10"/>
  <c r="J117" i="10" l="1"/>
  <c r="L117" i="10" s="1"/>
  <c r="D118" i="10" s="1"/>
  <c r="F118" i="10" l="1"/>
  <c r="K118" i="10"/>
  <c r="M118" i="10" s="1"/>
  <c r="I118" i="10"/>
  <c r="J118" i="10" l="1"/>
  <c r="L118" i="10" s="1"/>
  <c r="D119" i="10" s="1"/>
  <c r="F119" i="10" l="1"/>
  <c r="I119" i="10" s="1"/>
  <c r="K119" i="10"/>
  <c r="M119" i="10" s="1"/>
  <c r="J119" i="10" l="1"/>
  <c r="L119" i="10" s="1"/>
  <c r="D120" i="10" s="1"/>
  <c r="F120" i="10" l="1"/>
  <c r="K120" i="10"/>
  <c r="M120" i="10" s="1"/>
  <c r="I120" i="10"/>
  <c r="J120" i="10" l="1"/>
  <c r="L120" i="10" s="1"/>
  <c r="D121" i="10" s="1"/>
  <c r="F121" i="10" l="1"/>
  <c r="K121" i="10"/>
  <c r="M121" i="10" s="1"/>
  <c r="I121" i="10"/>
  <c r="J121" i="10" l="1"/>
  <c r="L121" i="10" s="1"/>
  <c r="D122" i="10" s="1"/>
  <c r="F122" i="10" l="1"/>
  <c r="K122" i="10"/>
  <c r="M122" i="10" s="1"/>
  <c r="I122" i="10"/>
  <c r="J122" i="10" l="1"/>
  <c r="L122" i="10" s="1"/>
  <c r="D123" i="10" s="1"/>
  <c r="F123" i="10" l="1"/>
  <c r="K123" i="10"/>
  <c r="M123" i="10" s="1"/>
  <c r="I123" i="10"/>
  <c r="J123" i="10" l="1"/>
  <c r="L123" i="10" s="1"/>
  <c r="D124" i="10" s="1"/>
  <c r="F124" i="10" l="1"/>
  <c r="K124" i="10"/>
  <c r="M124" i="10" s="1"/>
  <c r="I124" i="10"/>
  <c r="J124" i="10" l="1"/>
  <c r="L124" i="10" s="1"/>
  <c r="D125" i="10" s="1"/>
  <c r="F125" i="10" l="1"/>
  <c r="K125" i="10"/>
  <c r="M125" i="10" s="1"/>
  <c r="I125" i="10"/>
  <c r="J125" i="10" l="1"/>
  <c r="L125" i="10" s="1"/>
  <c r="D126" i="10" s="1"/>
  <c r="F126" i="10" l="1"/>
  <c r="I126" i="10" s="1"/>
  <c r="K126" i="10"/>
  <c r="M126" i="10" s="1"/>
  <c r="J126" i="10" l="1"/>
  <c r="L126" i="10" s="1"/>
  <c r="D127" i="10" s="1"/>
  <c r="F127" i="10" l="1"/>
  <c r="I127" i="10" s="1"/>
  <c r="K127" i="10"/>
  <c r="M127" i="10" s="1"/>
  <c r="J127" i="10" l="1"/>
  <c r="L127" i="10" s="1"/>
  <c r="D128" i="10" s="1"/>
  <c r="F128" i="10" l="1"/>
  <c r="K128" i="10"/>
  <c r="M128" i="10" s="1"/>
  <c r="I128" i="10"/>
  <c r="J128" i="10" l="1"/>
  <c r="L128" i="10" s="1"/>
  <c r="D129" i="10" s="1"/>
  <c r="F129" i="10" l="1"/>
  <c r="I129" i="10" s="1"/>
  <c r="K129" i="10"/>
  <c r="M129" i="10" s="1"/>
  <c r="J129" i="10" l="1"/>
  <c r="L129" i="10" s="1"/>
  <c r="D130" i="10" s="1"/>
  <c r="F130" i="10" l="1"/>
  <c r="I130" i="10" s="1"/>
  <c r="K130" i="10"/>
  <c r="M130" i="10" s="1"/>
  <c r="J130" i="10" l="1"/>
  <c r="L130" i="10" s="1"/>
  <c r="D131" i="10" s="1"/>
  <c r="F131" i="10" l="1"/>
  <c r="K131" i="10"/>
  <c r="M131" i="10" s="1"/>
  <c r="I131" i="10"/>
  <c r="J131" i="10" l="1"/>
  <c r="L131" i="10" s="1"/>
  <c r="D132" i="10" s="1"/>
  <c r="F132" i="10" l="1"/>
  <c r="I132" i="10" s="1"/>
  <c r="K132" i="10"/>
  <c r="M132" i="10" s="1"/>
  <c r="J132" i="10" l="1"/>
  <c r="L132" i="10" s="1"/>
  <c r="D133" i="10" s="1"/>
  <c r="F133" i="10" l="1"/>
  <c r="I133" i="10" s="1"/>
  <c r="K133" i="10"/>
  <c r="M133" i="10" s="1"/>
  <c r="J133" i="10" l="1"/>
  <c r="L133" i="10" s="1"/>
  <c r="D134" i="10" s="1"/>
  <c r="F134" i="10" l="1"/>
  <c r="K134" i="10"/>
  <c r="M134" i="10" s="1"/>
  <c r="I134" i="10"/>
  <c r="J134" i="10" l="1"/>
  <c r="L134" i="10" s="1"/>
  <c r="D135" i="10" s="1"/>
  <c r="F135" i="10" l="1"/>
  <c r="K135" i="10"/>
  <c r="M135" i="10" s="1"/>
  <c r="I135" i="10"/>
  <c r="J135" i="10" l="1"/>
  <c r="L135" i="10" s="1"/>
  <c r="D136" i="10"/>
  <c r="F136" i="10" l="1"/>
  <c r="K136" i="10"/>
  <c r="M136" i="10" s="1"/>
  <c r="I136" i="10"/>
  <c r="J136" i="10" l="1"/>
  <c r="L136" i="10" s="1"/>
  <c r="D137" i="10"/>
  <c r="F137" i="10" l="1"/>
  <c r="K137" i="10"/>
  <c r="M137" i="10" s="1"/>
  <c r="I137" i="10"/>
  <c r="J137" i="10" l="1"/>
  <c r="L137" i="10" s="1"/>
  <c r="D138" i="10" s="1"/>
  <c r="F138" i="10" l="1"/>
  <c r="K138" i="10"/>
  <c r="M138" i="10" s="1"/>
  <c r="I138" i="10"/>
  <c r="J138" i="10" l="1"/>
  <c r="L138" i="10" s="1"/>
  <c r="D139" i="10"/>
  <c r="F139" i="10" l="1"/>
  <c r="K139" i="10"/>
  <c r="M139" i="10" s="1"/>
  <c r="I139" i="10"/>
  <c r="J139" i="10" l="1"/>
  <c r="L139" i="10" s="1"/>
  <c r="D140" i="10"/>
  <c r="F140" i="10" l="1"/>
  <c r="K140" i="10"/>
  <c r="M140" i="10" s="1"/>
  <c r="I140" i="10"/>
  <c r="J140" i="10" l="1"/>
  <c r="L140" i="10" s="1"/>
  <c r="D141" i="10"/>
  <c r="F141" i="10" l="1"/>
  <c r="K141" i="10"/>
  <c r="M141" i="10" s="1"/>
  <c r="I141" i="10"/>
  <c r="J141" i="10" l="1"/>
  <c r="L141" i="10" s="1"/>
  <c r="D142" i="10" s="1"/>
  <c r="F142" i="10" l="1"/>
  <c r="K142" i="10"/>
  <c r="M142" i="10" s="1"/>
  <c r="I142" i="10"/>
  <c r="J142" i="10" l="1"/>
  <c r="L142" i="10" s="1"/>
  <c r="D143" i="10"/>
  <c r="F143" i="10" l="1"/>
  <c r="I143" i="10" s="1"/>
  <c r="K143" i="10"/>
  <c r="M143" i="10" s="1"/>
  <c r="J143" i="10" l="1"/>
  <c r="L143" i="10" s="1"/>
  <c r="D144" i="10"/>
  <c r="F144" i="10" l="1"/>
  <c r="I144" i="10" s="1"/>
  <c r="K144" i="10"/>
  <c r="M144" i="10" s="1"/>
  <c r="J144" i="10" l="1"/>
  <c r="L144" i="10" s="1"/>
  <c r="D145" i="10" s="1"/>
  <c r="F145" i="10" l="1"/>
  <c r="K145" i="10"/>
  <c r="M145" i="10" s="1"/>
  <c r="I145" i="10"/>
  <c r="J145" i="10" l="1"/>
  <c r="L145" i="10" s="1"/>
  <c r="D146" i="10"/>
  <c r="F146" i="10" l="1"/>
  <c r="K146" i="10"/>
  <c r="M146" i="10" s="1"/>
  <c r="I146" i="10"/>
  <c r="J146" i="10" l="1"/>
  <c r="L146" i="10" s="1"/>
  <c r="D147" i="10" s="1"/>
  <c r="F147" i="10" l="1"/>
  <c r="L147" i="10" s="1"/>
  <c r="K147" i="10"/>
  <c r="I147" i="10" l="1"/>
  <c r="J147" i="10" s="1"/>
  <c r="M147" i="10"/>
  <c r="D148" i="10"/>
  <c r="F148" i="10" l="1"/>
  <c r="K148" i="10"/>
  <c r="M148" i="10" s="1"/>
  <c r="L148" i="10"/>
  <c r="I148" i="10"/>
  <c r="J148" i="10" l="1"/>
  <c r="M9" i="10" l="1"/>
  <c r="M8" i="10" l="1"/>
  <c r="M11" i="10" l="1"/>
  <c r="D61" i="1" l="1"/>
  <c r="D53" i="1"/>
  <c r="D45" i="1"/>
  <c r="D36" i="1"/>
  <c r="D137" i="1" s="1"/>
  <c r="D138" i="1" s="1"/>
  <c r="D25" i="1"/>
  <c r="D68" i="1" s="1"/>
  <c r="I41" i="7"/>
  <c r="I39" i="7"/>
  <c r="I37" i="7"/>
  <c r="I35" i="7"/>
  <c r="E19" i="7"/>
  <c r="I42" i="7"/>
  <c r="I40" i="7"/>
  <c r="I38" i="7"/>
  <c r="I36" i="7"/>
  <c r="D41" i="7"/>
  <c r="D42" i="7"/>
  <c r="D43" i="7"/>
  <c r="D39" i="7"/>
  <c r="D37" i="7"/>
  <c r="D35" i="7"/>
  <c r="D33" i="7"/>
  <c r="D31" i="7"/>
  <c r="D27" i="7"/>
  <c r="D25" i="7"/>
  <c r="D23" i="7"/>
  <c r="D21" i="7"/>
  <c r="D19" i="7"/>
  <c r="D40" i="7"/>
  <c r="D36" i="7"/>
  <c r="D34" i="7"/>
  <c r="D32" i="7"/>
  <c r="D30" i="7"/>
  <c r="D28" i="7"/>
  <c r="D26" i="7"/>
  <c r="D24" i="7"/>
  <c r="D22" i="7"/>
  <c r="D17" i="7"/>
  <c r="C21" i="7"/>
  <c r="C19" i="7"/>
  <c r="C22" i="7"/>
  <c r="C23" i="7"/>
  <c r="C24" i="7"/>
  <c r="C25" i="7"/>
  <c r="C26" i="7"/>
  <c r="C28" i="7"/>
  <c r="C29" i="7"/>
  <c r="C30" i="7"/>
  <c r="C17" i="7"/>
  <c r="B43" i="7"/>
  <c r="B41" i="7"/>
  <c r="B42" i="7"/>
  <c r="B32" i="7"/>
  <c r="B33" i="7"/>
  <c r="B34" i="7"/>
  <c r="B35" i="7"/>
  <c r="B36" i="7"/>
  <c r="B37" i="7"/>
  <c r="B38" i="7"/>
  <c r="B39" i="7"/>
  <c r="B40" i="7"/>
  <c r="B20" i="7"/>
  <c r="B27" i="7"/>
  <c r="B31" i="7"/>
  <c r="B16" i="7"/>
  <c r="B15" i="7"/>
  <c r="E7" i="7"/>
  <c r="F7" i="7"/>
  <c r="D9" i="7"/>
  <c r="E9" i="7"/>
  <c r="F9" i="7"/>
  <c r="D10" i="7"/>
  <c r="E10" i="7"/>
  <c r="F10" i="7"/>
  <c r="D13" i="7"/>
  <c r="E13" i="7"/>
  <c r="F13" i="7"/>
  <c r="B14" i="7"/>
  <c r="B10" i="7"/>
  <c r="B13" i="7"/>
  <c r="B8" i="7"/>
  <c r="B9" i="7"/>
  <c r="B6" i="7"/>
  <c r="A7" i="7"/>
  <c r="A8" i="7"/>
  <c r="A9" i="7"/>
  <c r="A10" i="7"/>
  <c r="A6" i="7"/>
  <c r="B7" i="7"/>
  <c r="E43" i="2"/>
  <c r="E44" i="2" s="1"/>
  <c r="E11" i="2"/>
  <c r="I45" i="7"/>
  <c r="I15" i="7"/>
  <c r="F28" i="7" l="1"/>
  <c r="G28" i="7" s="1"/>
  <c r="H28" i="7" s="1"/>
  <c r="F30" i="7"/>
  <c r="G30" i="7" s="1"/>
  <c r="H30" i="7" s="1"/>
  <c r="E14" i="7"/>
  <c r="E44" i="7" s="1"/>
  <c r="I13" i="7"/>
  <c r="D7" i="7"/>
  <c r="I7" i="7" s="1"/>
  <c r="I10" i="7"/>
  <c r="I9" i="7"/>
  <c r="I8" i="7"/>
  <c r="I26" i="7"/>
  <c r="I23" i="7"/>
  <c r="I21" i="7"/>
  <c r="I32" i="7"/>
  <c r="I25" i="7"/>
  <c r="I30" i="7"/>
  <c r="I19" i="7" l="1"/>
  <c r="I20" i="7"/>
  <c r="I22" i="7"/>
  <c r="I28" i="7"/>
  <c r="I29" i="7"/>
  <c r="I27" i="7"/>
  <c r="I24" i="7"/>
  <c r="I16" i="7" l="1"/>
  <c r="I17" i="7" l="1"/>
  <c r="I31" i="7" l="1"/>
  <c r="AM3" i="2" l="1"/>
  <c r="C45" i="3"/>
  <c r="D45" i="3" s="1"/>
  <c r="E45" i="3" s="1"/>
  <c r="F45" i="3" s="1"/>
  <c r="G45" i="3" s="1"/>
  <c r="B35" i="3"/>
  <c r="B34" i="3"/>
  <c r="C33" i="3"/>
  <c r="B33" i="3"/>
  <c r="C32" i="3"/>
  <c r="C31" i="3" s="1"/>
  <c r="C30" i="3" s="1"/>
  <c r="C29" i="3" s="1"/>
  <c r="C28" i="3" s="1"/>
  <c r="C27" i="3" s="1"/>
  <c r="B32" i="3"/>
  <c r="B31" i="3"/>
  <c r="B30" i="3"/>
  <c r="B29" i="3"/>
  <c r="B28" i="3"/>
  <c r="G27" i="3"/>
  <c r="F27" i="3"/>
  <c r="E27" i="3"/>
  <c r="D27" i="3"/>
  <c r="F23" i="3"/>
  <c r="E23" i="3"/>
  <c r="D23" i="3"/>
  <c r="C23" i="3"/>
  <c r="G22" i="3"/>
  <c r="G21" i="3"/>
  <c r="G20" i="3"/>
  <c r="G19" i="3"/>
  <c r="G18" i="3"/>
  <c r="G17" i="3"/>
  <c r="G16" i="3"/>
  <c r="G15" i="3"/>
  <c r="G12" i="3"/>
  <c r="F12" i="3"/>
  <c r="E12" i="3"/>
  <c r="D12" i="3"/>
  <c r="G9" i="3"/>
  <c r="G8" i="3"/>
  <c r="G7" i="3" s="1"/>
  <c r="G6" i="3" s="1"/>
  <c r="G5" i="3" s="1"/>
  <c r="C4" i="3"/>
  <c r="C12" i="3" s="1"/>
  <c r="E19" i="5"/>
  <c r="G19" i="5"/>
  <c r="H19" i="5"/>
  <c r="F60" i="6"/>
  <c r="C59" i="6"/>
  <c r="C58" i="6"/>
  <c r="F57" i="6"/>
  <c r="C56" i="6"/>
  <c r="F55" i="6"/>
  <c r="F49" i="6"/>
  <c r="F48" i="6"/>
  <c r="F47" i="6"/>
  <c r="F46" i="6"/>
  <c r="F45" i="6"/>
  <c r="F44" i="6"/>
  <c r="E43" i="6"/>
  <c r="E50" i="6" s="1"/>
  <c r="F42" i="6"/>
  <c r="F41" i="6"/>
  <c r="F40" i="6"/>
  <c r="F39" i="6"/>
  <c r="F38" i="6"/>
  <c r="F37" i="6"/>
  <c r="F36" i="6"/>
  <c r="F35" i="6"/>
  <c r="F34" i="6"/>
  <c r="F33" i="6"/>
  <c r="F32" i="6"/>
  <c r="D31" i="6"/>
  <c r="F31" i="6" s="1"/>
  <c r="F30" i="6"/>
  <c r="F29" i="6"/>
  <c r="D28" i="6"/>
  <c r="F28" i="6" s="1"/>
  <c r="F27" i="6"/>
  <c r="F26" i="6"/>
  <c r="F25" i="6"/>
  <c r="F24" i="6"/>
  <c r="E20" i="6"/>
  <c r="D20" i="6"/>
  <c r="F19" i="6"/>
  <c r="F18" i="6"/>
  <c r="C18" i="6"/>
  <c r="F17" i="6"/>
  <c r="F16" i="6"/>
  <c r="F15" i="6"/>
  <c r="C15" i="6"/>
  <c r="F14" i="6"/>
  <c r="C14" i="6"/>
  <c r="E12" i="6"/>
  <c r="D12" i="6"/>
  <c r="F11" i="6"/>
  <c r="F10" i="6"/>
  <c r="F9" i="6"/>
  <c r="C9" i="6"/>
  <c r="F8" i="6"/>
  <c r="C8" i="6"/>
  <c r="F7" i="6"/>
  <c r="C7" i="6"/>
  <c r="B4" i="6"/>
  <c r="B3" i="6"/>
  <c r="C57" i="6"/>
  <c r="P42" i="4"/>
  <c r="P41" i="4"/>
  <c r="C48" i="6" s="1"/>
  <c r="P40" i="4"/>
  <c r="C47" i="6" s="1"/>
  <c r="P39" i="4"/>
  <c r="C46" i="6" s="1"/>
  <c r="P38" i="4"/>
  <c r="P37" i="4"/>
  <c r="C44" i="6" s="1"/>
  <c r="O36" i="4"/>
  <c r="O43" i="4" s="1"/>
  <c r="N36" i="4"/>
  <c r="N43" i="4" s="1"/>
  <c r="M36" i="4"/>
  <c r="M43" i="4" s="1"/>
  <c r="L36" i="4"/>
  <c r="L43" i="4" s="1"/>
  <c r="K36" i="4"/>
  <c r="K43" i="4" s="1"/>
  <c r="J36" i="4"/>
  <c r="J43" i="4" s="1"/>
  <c r="I36" i="4"/>
  <c r="I43" i="4" s="1"/>
  <c r="H36" i="4"/>
  <c r="H43" i="4" s="1"/>
  <c r="G36" i="4"/>
  <c r="G43" i="4" s="1"/>
  <c r="F36" i="4"/>
  <c r="F43" i="4" s="1"/>
  <c r="E36" i="4"/>
  <c r="E43" i="4" s="1"/>
  <c r="D36" i="4"/>
  <c r="D43" i="4" s="1"/>
  <c r="C36" i="4"/>
  <c r="C43" i="4" s="1"/>
  <c r="P35" i="4"/>
  <c r="P34" i="4"/>
  <c r="C41" i="6" s="1"/>
  <c r="P33" i="4"/>
  <c r="C40" i="6" s="1"/>
  <c r="P32" i="4"/>
  <c r="P31" i="4"/>
  <c r="P30" i="4"/>
  <c r="P29" i="4"/>
  <c r="C36" i="6" s="1"/>
  <c r="P28" i="4"/>
  <c r="P27" i="4"/>
  <c r="P26" i="4"/>
  <c r="C33" i="6" s="1"/>
  <c r="P25" i="4"/>
  <c r="C32" i="6" s="1"/>
  <c r="P24" i="4"/>
  <c r="P23" i="4"/>
  <c r="P22" i="4"/>
  <c r="C29" i="6" s="1"/>
  <c r="P21" i="4"/>
  <c r="C28" i="6" s="1"/>
  <c r="P20" i="4"/>
  <c r="P19" i="4"/>
  <c r="P18" i="4"/>
  <c r="C25" i="6" s="1"/>
  <c r="P17" i="4"/>
  <c r="C24" i="6" s="1"/>
  <c r="O13" i="4"/>
  <c r="N13" i="4"/>
  <c r="M13" i="4"/>
  <c r="L13" i="4"/>
  <c r="K13" i="4"/>
  <c r="J13" i="4"/>
  <c r="I13" i="4"/>
  <c r="H13" i="4"/>
  <c r="G13" i="4"/>
  <c r="F13" i="4"/>
  <c r="E13" i="4"/>
  <c r="D13" i="4"/>
  <c r="C13" i="4"/>
  <c r="C15" i="4" s="1"/>
  <c r="C45" i="4" s="1"/>
  <c r="D7" i="4" s="1"/>
  <c r="B3" i="4"/>
  <c r="D121" i="1"/>
  <c r="D17" i="1"/>
  <c r="D120" i="1" s="1"/>
  <c r="D125" i="1"/>
  <c r="D66" i="1"/>
  <c r="D126" i="1" s="1"/>
  <c r="D127" i="1"/>
  <c r="D128" i="1"/>
  <c r="D87" i="1"/>
  <c r="D94" i="1"/>
  <c r="D106" i="1"/>
  <c r="H61" i="1"/>
  <c r="G61" i="1"/>
  <c r="F61" i="1"/>
  <c r="E61" i="1"/>
  <c r="H53" i="1"/>
  <c r="G53" i="1"/>
  <c r="F53" i="1"/>
  <c r="E53" i="1"/>
  <c r="H45" i="1"/>
  <c r="G45" i="1"/>
  <c r="F45" i="1"/>
  <c r="E45" i="1"/>
  <c r="H36" i="1"/>
  <c r="G36" i="1"/>
  <c r="F36" i="1"/>
  <c r="E36" i="1"/>
  <c r="H25" i="1"/>
  <c r="G25" i="1"/>
  <c r="F25" i="1"/>
  <c r="E25" i="1"/>
  <c r="H97" i="1" l="1"/>
  <c r="H98" i="1" s="1"/>
  <c r="D115" i="1"/>
  <c r="D107" i="1"/>
  <c r="D116" i="1" s="1"/>
  <c r="D117" i="1" s="1"/>
  <c r="D114" i="1"/>
  <c r="G97" i="1"/>
  <c r="AN3" i="2"/>
  <c r="F6" i="7" s="1"/>
  <c r="G6" i="7" s="1"/>
  <c r="D22" i="6"/>
  <c r="G20" i="5"/>
  <c r="E22" i="6"/>
  <c r="C65" i="6"/>
  <c r="D123" i="1"/>
  <c r="D129" i="1" s="1"/>
  <c r="C60" i="6"/>
  <c r="C66" i="6"/>
  <c r="F20" i="6"/>
  <c r="C64" i="6" s="1"/>
  <c r="C67" i="6"/>
  <c r="E52" i="6"/>
  <c r="C20" i="6"/>
  <c r="C22" i="6" s="1"/>
  <c r="C30" i="6"/>
  <c r="C37" i="6"/>
  <c r="C46" i="3"/>
  <c r="D46" i="3" s="1"/>
  <c r="E46" i="3" s="1"/>
  <c r="F46" i="3" s="1"/>
  <c r="G46" i="3" s="1"/>
  <c r="D15" i="4"/>
  <c r="D45" i="4" s="1"/>
  <c r="E7" i="4" s="1"/>
  <c r="E15" i="4" s="1"/>
  <c r="E45" i="4" s="1"/>
  <c r="F7" i="4" s="1"/>
  <c r="F15" i="4" s="1"/>
  <c r="F45" i="4" s="1"/>
  <c r="G7" i="4" s="1"/>
  <c r="G15" i="4" s="1"/>
  <c r="G45" i="4" s="1"/>
  <c r="H7" i="4" s="1"/>
  <c r="H15" i="4" s="1"/>
  <c r="H45" i="4" s="1"/>
  <c r="I7" i="4" s="1"/>
  <c r="I15" i="4" s="1"/>
  <c r="I45" i="4" s="1"/>
  <c r="J7" i="4" s="1"/>
  <c r="J15" i="4" s="1"/>
  <c r="J45" i="4" s="1"/>
  <c r="K7" i="4" s="1"/>
  <c r="K15" i="4" s="1"/>
  <c r="K45" i="4" s="1"/>
  <c r="L7" i="4" s="1"/>
  <c r="L15" i="4" s="1"/>
  <c r="L45" i="4" s="1"/>
  <c r="M7" i="4" s="1"/>
  <c r="M15" i="4" s="1"/>
  <c r="M45" i="4" s="1"/>
  <c r="N7" i="4" s="1"/>
  <c r="N15" i="4" s="1"/>
  <c r="N45" i="4" s="1"/>
  <c r="O7" i="4" s="1"/>
  <c r="O15" i="4" s="1"/>
  <c r="O45" i="4" s="1"/>
  <c r="C26" i="6"/>
  <c r="P43" i="4"/>
  <c r="C55" i="6"/>
  <c r="F12" i="6"/>
  <c r="C27" i="6"/>
  <c r="C34" i="6"/>
  <c r="C38" i="6"/>
  <c r="C42" i="6"/>
  <c r="C45" i="6"/>
  <c r="C31" i="6"/>
  <c r="C35" i="6"/>
  <c r="C39" i="6"/>
  <c r="D43" i="6"/>
  <c r="D50" i="6" s="1"/>
  <c r="D52" i="6" s="1"/>
  <c r="H6" i="7" l="1"/>
  <c r="H14" i="7" s="1"/>
  <c r="H44" i="7" s="1"/>
  <c r="G14" i="7"/>
  <c r="G44" i="7" s="1"/>
  <c r="D11" i="7"/>
  <c r="D14" i="7" s="1"/>
  <c r="D38" i="7"/>
  <c r="F22" i="6"/>
  <c r="C43" i="6"/>
  <c r="C50" i="6" s="1"/>
  <c r="F50" i="6"/>
  <c r="C52" i="6"/>
  <c r="F14" i="7" l="1"/>
  <c r="F44" i="7" s="1"/>
  <c r="I6" i="7"/>
  <c r="D29" i="7"/>
  <c r="D44" i="7" s="1"/>
  <c r="I14" i="7" l="1"/>
  <c r="I44" i="7" s="1"/>
  <c r="D15" i="10"/>
  <c r="E15" i="10"/>
  <c r="I15" i="10" l="1"/>
  <c r="K15" i="10" s="1"/>
  <c r="M15" i="10" s="1"/>
  <c r="F15" i="10"/>
  <c r="L15" i="10" l="1"/>
  <c r="D16" i="10" s="1"/>
  <c r="I16" i="10" s="1"/>
  <c r="K16" i="10" s="1"/>
  <c r="M16" i="10" s="1"/>
  <c r="F16" i="10" l="1"/>
  <c r="L16" i="10"/>
  <c r="D17" i="10" s="1"/>
  <c r="F17" i="10" l="1"/>
  <c r="I17" i="10"/>
  <c r="K17" i="10" s="1"/>
  <c r="M17" i="10" l="1"/>
  <c r="L17" i="10"/>
  <c r="D18" i="10" s="1"/>
  <c r="F18" i="10" l="1"/>
  <c r="I18" i="10"/>
  <c r="K18" i="10" s="1"/>
  <c r="M18" i="10" s="1"/>
  <c r="L18" i="10" l="1"/>
  <c r="D19" i="10" s="1"/>
  <c r="F19" i="10" l="1"/>
  <c r="I19" i="10"/>
  <c r="K19" i="10" s="1"/>
  <c r="M19" i="10" s="1"/>
  <c r="L19" i="10" l="1"/>
  <c r="D20" i="10" s="1"/>
  <c r="F20" i="10" l="1"/>
  <c r="I20" i="10"/>
  <c r="K20" i="10" s="1"/>
  <c r="M20" i="10" s="1"/>
  <c r="L20" i="10" l="1"/>
  <c r="D21" i="10" s="1"/>
  <c r="I21" i="10" l="1"/>
  <c r="K21" i="10" s="1"/>
  <c r="M21" i="10" s="1"/>
  <c r="F21" i="10"/>
  <c r="L21" i="10"/>
  <c r="D22" i="10" s="1"/>
  <c r="I22" i="10" l="1"/>
  <c r="K22" i="10" s="1"/>
  <c r="M22" i="10" s="1"/>
  <c r="F22" i="10"/>
  <c r="L22" i="10" l="1"/>
  <c r="D23" i="10" s="1"/>
  <c r="F23" i="10"/>
  <c r="I23" i="10"/>
  <c r="K23" i="10" s="1"/>
  <c r="M23" i="10" s="1"/>
  <c r="L23" i="10" l="1"/>
  <c r="D24" i="10" s="1"/>
  <c r="I24" i="10" s="1"/>
  <c r="K24" i="10" s="1"/>
  <c r="M24" i="10" s="1"/>
  <c r="F24" i="10" l="1"/>
  <c r="L24" i="10"/>
  <c r="D25" i="10" s="1"/>
  <c r="I25" i="10" l="1"/>
  <c r="K25" i="10" s="1"/>
  <c r="M25" i="10" s="1"/>
  <c r="L25" i="10"/>
  <c r="F25" i="10"/>
</calcChain>
</file>

<file path=xl/sharedStrings.xml><?xml version="1.0" encoding="utf-8"?>
<sst xmlns="http://schemas.openxmlformats.org/spreadsheetml/2006/main" count="707" uniqueCount="446">
  <si>
    <t>SOURCES OF CAPITAL</t>
  </si>
  <si>
    <t>Other investor</t>
  </si>
  <si>
    <t>Bank 1</t>
  </si>
  <si>
    <t>Bank 2</t>
  </si>
  <si>
    <t>STARTUP EXPENSES</t>
  </si>
  <si>
    <t>Other</t>
  </si>
  <si>
    <t>Equipment</t>
  </si>
  <si>
    <t>Legal and accounting fees</t>
  </si>
  <si>
    <t>Category 3</t>
  </si>
  <si>
    <t>Category 4</t>
  </si>
  <si>
    <t>Category 5</t>
  </si>
  <si>
    <t>Advertising</t>
  </si>
  <si>
    <t>Signage</t>
  </si>
  <si>
    <t>Printing</t>
  </si>
  <si>
    <t>Reserve for Contingencies</t>
  </si>
  <si>
    <t xml:space="preserve">Working Capital </t>
  </si>
  <si>
    <t>SUMMARY STATEMENT</t>
  </si>
  <si>
    <t>Owners' and other investments</t>
  </si>
  <si>
    <t>Bank loans</t>
  </si>
  <si>
    <t>Capital equipment</t>
  </si>
  <si>
    <t>Location/administration expenses</t>
  </si>
  <si>
    <t>Opening inventory</t>
  </si>
  <si>
    <t>Advertising/promotional expenses</t>
  </si>
  <si>
    <t>Other expenses</t>
  </si>
  <si>
    <t>Contingency fund</t>
  </si>
  <si>
    <t>Working capital</t>
  </si>
  <si>
    <t>SECURITY AND COLLATERAL FOR LOAN PROPOSAL</t>
  </si>
  <si>
    <t>Other owner</t>
  </si>
  <si>
    <t>Loan guarantor 1</t>
  </si>
  <si>
    <t>Loan guarantor 2</t>
  </si>
  <si>
    <t>Loan guarantor 3</t>
  </si>
  <si>
    <t>Total</t>
  </si>
  <si>
    <t>SOURCE OF CAPITAL</t>
  </si>
  <si>
    <t>BUILDINGS/REAL ESTATE</t>
  </si>
  <si>
    <t>CAPITAL EQUIPMENT LIST</t>
  </si>
  <si>
    <t>LOCATION AND ADMIN EXPENSES</t>
  </si>
  <si>
    <t>OPENING INVENTORY</t>
  </si>
  <si>
    <t>ADVERTISING AND PROMOTIONAL EXPENSES</t>
  </si>
  <si>
    <t>OTHER EXPENSES</t>
  </si>
  <si>
    <t>COLLATERAL FOR LOANS</t>
  </si>
  <si>
    <t>OWNERS</t>
  </si>
  <si>
    <t>LOAN GUARANTORS (OTHER THAN OWNERS)</t>
  </si>
  <si>
    <t xml:space="preserve"> </t>
  </si>
  <si>
    <t xml:space="preserve">  </t>
  </si>
  <si>
    <t>DESCRIPTION</t>
  </si>
  <si>
    <t>VALUE</t>
  </si>
  <si>
    <t>AMOUNT</t>
  </si>
  <si>
    <t>Business Name</t>
  </si>
  <si>
    <t>Building Purchase</t>
  </si>
  <si>
    <t>Land Acquisition</t>
  </si>
  <si>
    <t>LOANS</t>
  </si>
  <si>
    <t>Other 3</t>
  </si>
  <si>
    <t>Other 4</t>
  </si>
  <si>
    <t>TOTAL</t>
  </si>
  <si>
    <t>1. Cash On Hand</t>
  </si>
  <si>
    <t>2. Cash Receipts</t>
  </si>
  <si>
    <t>(a) Cash Sales</t>
  </si>
  <si>
    <t>(b) Collections from Credit Accounts</t>
  </si>
  <si>
    <t>(c) Loan or Other Cash Injection</t>
  </si>
  <si>
    <t>3. Total Cash Receipts</t>
  </si>
  <si>
    <t>[2a + 2b + 2c=3]</t>
  </si>
  <si>
    <t>4. Total Cash Available</t>
  </si>
  <si>
    <t>[Before cash out] (1 + 3)</t>
  </si>
  <si>
    <t>5. Cash Paid Out</t>
  </si>
  <si>
    <t>(a) Rent</t>
  </si>
  <si>
    <t>(b) Gross Wages (excludes withdrawals)</t>
  </si>
  <si>
    <t>(c) Payroll Expenses (Taxes, etc.)</t>
  </si>
  <si>
    <t>(d) Utilities</t>
  </si>
  <si>
    <t>(e) Supplies (Office and operating)</t>
  </si>
  <si>
    <t>(f) Repairs and Maintenance</t>
  </si>
  <si>
    <t>(g) Advertising</t>
  </si>
  <si>
    <t>(h) Auto, Delivery, and Travel</t>
  </si>
  <si>
    <t>(i) Accounting and Legal</t>
  </si>
  <si>
    <t>(j) Purchases (Merchandise)</t>
  </si>
  <si>
    <t>(k) Telephone</t>
  </si>
  <si>
    <t>(l) Outside Services</t>
  </si>
  <si>
    <t>(m) Insurance</t>
  </si>
  <si>
    <t>(n) Taxes (Real Estate, etc.)</t>
  </si>
  <si>
    <t>(o) Interest</t>
  </si>
  <si>
    <t>(p) Other Expenses [Specify each]</t>
  </si>
  <si>
    <t>(q) Miscellaneous [Unspecified]</t>
  </si>
  <si>
    <t>(r) Subtotal</t>
  </si>
  <si>
    <t>(s) Loan Principal Payment</t>
  </si>
  <si>
    <t>(t) Capital Purchases [Specify]</t>
  </si>
  <si>
    <t>(u) Other Start-up Costs</t>
  </si>
  <si>
    <t>(v) Reserve and/or Escrow [Specify]</t>
  </si>
  <si>
    <t>(w) Owner's Withdrawal</t>
  </si>
  <si>
    <t>6. Total Cash Paid Out</t>
  </si>
  <si>
    <t>[Total 5a thru 5w]</t>
  </si>
  <si>
    <t>7. Cash Position</t>
  </si>
  <si>
    <t>[End of month]  (4 minus 6)</t>
  </si>
  <si>
    <t>Essential Operating Data</t>
  </si>
  <si>
    <t>[Non-cash flow information]</t>
  </si>
  <si>
    <t>A. Sales Volume [Dollars]</t>
  </si>
  <si>
    <t>B. Accounts Receivable [End of Month]</t>
  </si>
  <si>
    <t>C. Bad Debt [End of Month]</t>
  </si>
  <si>
    <t>D. Inventory on Hand [End of Month]</t>
  </si>
  <si>
    <t>E. Accounts Payable [End of Month]</t>
  </si>
  <si>
    <t>F. Depreciation</t>
  </si>
  <si>
    <t>Checking Calculation Verification</t>
  </si>
  <si>
    <t>Check #1</t>
  </si>
  <si>
    <t>Check #2</t>
  </si>
  <si>
    <t>Check #3</t>
  </si>
  <si>
    <t>Check #4</t>
  </si>
  <si>
    <t>[Beginning of year]</t>
  </si>
  <si>
    <t>End of Previous Year</t>
  </si>
  <si>
    <t>End of Previous Year 2014</t>
  </si>
  <si>
    <t>JANUARY</t>
  </si>
  <si>
    <t>FEBRUARY</t>
  </si>
  <si>
    <t>MARCH</t>
  </si>
  <si>
    <t>APRIL</t>
  </si>
  <si>
    <t>MAY</t>
  </si>
  <si>
    <t>JUNE</t>
  </si>
  <si>
    <t>JULY</t>
  </si>
  <si>
    <t>AUGUST</t>
  </si>
  <si>
    <t>SEPTEMBER</t>
  </si>
  <si>
    <t>OCTOBER</t>
  </si>
  <si>
    <t>NOVEMBER</t>
  </si>
  <si>
    <t>DECEMBER</t>
  </si>
  <si>
    <t>Owner Salary</t>
  </si>
  <si>
    <t>Insurance</t>
  </si>
  <si>
    <t>Income Taxes</t>
  </si>
  <si>
    <t>JOB CREATION ESTIMATES</t>
  </si>
  <si>
    <t>Full Time</t>
  </si>
  <si>
    <t>CURRENT EMPLOYEES</t>
  </si>
  <si>
    <t>Part Time</t>
  </si>
  <si>
    <t>Temporary</t>
  </si>
  <si>
    <t>NUMBER OF JOBS</t>
  </si>
  <si>
    <t>ANNUAL SALARY</t>
  </si>
  <si>
    <t>AVERAGE # HOURS WORKED PER WEEK?</t>
  </si>
  <si>
    <t>NAME</t>
  </si>
  <si>
    <t>RESIDENCE ADDRESS:</t>
  </si>
  <si>
    <t>RESIDENCE CITY, STATE, ZIP:</t>
  </si>
  <si>
    <t>PERSONAL PHONE/CELL:</t>
  </si>
  <si>
    <t>BUSINESS NAME:</t>
  </si>
  <si>
    <t>ROLE IN BUSINESS:</t>
  </si>
  <si>
    <t>DATE:</t>
  </si>
  <si>
    <t>ASSETS</t>
  </si>
  <si>
    <t>LIABILITIES</t>
  </si>
  <si>
    <t>EMPLOYMENT/CASH INCOME</t>
  </si>
  <si>
    <t>Monthly Income from Employer 1</t>
  </si>
  <si>
    <t>Monthly Income from Employer 2</t>
  </si>
  <si>
    <t>Cash on Hand or in Banks</t>
  </si>
  <si>
    <t>Savings Account Balance</t>
  </si>
  <si>
    <t>IRA or other Retirement Account Balance</t>
  </si>
  <si>
    <t>Stocks and Bonds (Describe Below)</t>
  </si>
  <si>
    <t>Investment Income</t>
  </si>
  <si>
    <t>Other Income</t>
  </si>
  <si>
    <t>PROPERTY</t>
  </si>
  <si>
    <t>ADDRESS / DESCRIPTION</t>
  </si>
  <si>
    <t>.</t>
  </si>
  <si>
    <t>GENERAL HOUSEHOLD MONTHLY EXPENSES</t>
  </si>
  <si>
    <t>Mortgage</t>
  </si>
  <si>
    <t>Auto Payment</t>
  </si>
  <si>
    <t>Personal Bank Loans</t>
  </si>
  <si>
    <t>Student Loan</t>
  </si>
  <si>
    <t>Current Credit Card Balances</t>
  </si>
  <si>
    <t>Monthly Payment</t>
  </si>
  <si>
    <t>Other Loans</t>
  </si>
  <si>
    <t>Line of Credit</t>
  </si>
  <si>
    <t>Total Balance/Contract</t>
  </si>
  <si>
    <t xml:space="preserve">Rent </t>
  </si>
  <si>
    <t>Address</t>
  </si>
  <si>
    <t xml:space="preserve">Utilities </t>
  </si>
  <si>
    <t>Monthly Payment2</t>
  </si>
  <si>
    <t>Annual Payment</t>
  </si>
  <si>
    <t>Cable</t>
  </si>
  <si>
    <t>Loans/Debts to Creditors</t>
  </si>
  <si>
    <t>Vehicle Payment</t>
  </si>
  <si>
    <t>Insurance (vehicle, home, etc.)</t>
  </si>
  <si>
    <t>Vehicle tags/taxes</t>
  </si>
  <si>
    <t>Fuel</t>
  </si>
  <si>
    <t>Maintenance/Other</t>
  </si>
  <si>
    <t>Health Insurance or Medical expenses</t>
  </si>
  <si>
    <t>Pets - Food</t>
  </si>
  <si>
    <t>Personal Care - Salon, health club, etc</t>
  </si>
  <si>
    <t>Memberships/Clubs</t>
  </si>
  <si>
    <t>Entertainment (Movies, vacation, activities)</t>
  </si>
  <si>
    <t>Attorneys (Legal)</t>
  </si>
  <si>
    <t xml:space="preserve">Alimony </t>
  </si>
  <si>
    <t>Charity</t>
  </si>
  <si>
    <t xml:space="preserve">Clothing </t>
  </si>
  <si>
    <t>Pets - Medical, toys, misc</t>
  </si>
  <si>
    <t>Food/Groceries/Eating Out</t>
  </si>
  <si>
    <t>Investments/IRA</t>
  </si>
  <si>
    <t>Taxes</t>
  </si>
  <si>
    <t>Unpaid Leins/Debt</t>
  </si>
  <si>
    <t>provide description</t>
  </si>
  <si>
    <t>Child Care</t>
  </si>
  <si>
    <t>Date Purchased</t>
  </si>
  <si>
    <t>Name and Address of Title  Holder</t>
  </si>
  <si>
    <t>Name and Address of Mortgage Holder</t>
  </si>
  <si>
    <t>Mortgage Account #</t>
  </si>
  <si>
    <t>Description</t>
  </si>
  <si>
    <t>Status of Mortgage</t>
  </si>
  <si>
    <t xml:space="preserve">Annual </t>
  </si>
  <si>
    <t>Present Market Value:</t>
  </si>
  <si>
    <t>Monthly Payment Amount:</t>
  </si>
  <si>
    <t>Current Balance:</t>
  </si>
  <si>
    <t>Original Cost:</t>
  </si>
  <si>
    <t>Real Estate (Primary Residence if Owned) Property A</t>
  </si>
  <si>
    <t>Real Estate (Primary Residence if Owned) Property B</t>
  </si>
  <si>
    <t>Real Estate (Primary Residence if Owned) Property C</t>
  </si>
  <si>
    <t>OTHER PERSONAL PROPERTY AND OTHER ASSETS</t>
  </si>
  <si>
    <t>Used as Collateral?</t>
  </si>
  <si>
    <t>Lien Holder</t>
  </si>
  <si>
    <t>Amount of Lein</t>
  </si>
  <si>
    <t>Building and Address</t>
  </si>
  <si>
    <t>Vehicles</t>
  </si>
  <si>
    <t xml:space="preserve">Other  </t>
  </si>
  <si>
    <t>OTHER LIABILITIES</t>
  </si>
  <si>
    <t>Unpaid Taxes</t>
  </si>
  <si>
    <t xml:space="preserve">Other Liabilities </t>
  </si>
  <si>
    <t>Monthly</t>
  </si>
  <si>
    <t>Annual Value</t>
  </si>
  <si>
    <t>Building improvements</t>
  </si>
  <si>
    <t>Buildings/real estate Acquisition</t>
  </si>
  <si>
    <t>BUILDING IMPROVEMENTS/RENOVATION/CONSTRUCTION</t>
  </si>
  <si>
    <t>ANNUAL JOB GROWTH ESTIMATES</t>
  </si>
  <si>
    <t>Year 1</t>
  </si>
  <si>
    <t>Year 2</t>
  </si>
  <si>
    <t>Year 3</t>
  </si>
  <si>
    <t>Year 4</t>
  </si>
  <si>
    <t>Year 5</t>
  </si>
  <si>
    <t>Laborer</t>
  </si>
  <si>
    <t>Maintenance</t>
  </si>
  <si>
    <t>Supervisor</t>
  </si>
  <si>
    <t>Manager</t>
  </si>
  <si>
    <t>Sales</t>
  </si>
  <si>
    <t>Owner/Operator</t>
  </si>
  <si>
    <t>Median Wage</t>
  </si>
  <si>
    <t>Average Wage</t>
  </si>
  <si>
    <t>Job title</t>
  </si>
  <si>
    <t>Job Title</t>
  </si>
  <si>
    <t xml:space="preserve"> HOURLY WAGE RANGE</t>
  </si>
  <si>
    <t>MEDIAN INCOME</t>
  </si>
  <si>
    <t>HOURLY WAGE RANGE</t>
  </si>
  <si>
    <t>NEW EMPLOYEES (year 1)</t>
  </si>
  <si>
    <t>NEW JOBS</t>
  </si>
  <si>
    <t>EXISTING JOBS</t>
  </si>
  <si>
    <t>TOTAL JOBS</t>
  </si>
  <si>
    <t>PUBLIC LOANS</t>
  </si>
  <si>
    <r>
      <rPr>
        <b/>
        <sz val="29"/>
        <color rgb="FF004A87"/>
        <rFont val="Calibri"/>
        <family val="2"/>
        <scheme val="minor"/>
      </rPr>
      <t>PERSONAL</t>
    </r>
    <r>
      <rPr>
        <sz val="29"/>
        <color rgb="FF004A87"/>
        <rFont val="Calibri"/>
        <family val="2"/>
        <scheme val="minor"/>
      </rPr>
      <t xml:space="preserve"> FINANCIAL STATEMENT</t>
    </r>
  </si>
  <si>
    <r>
      <t xml:space="preserve">2017 PROJECTED </t>
    </r>
    <r>
      <rPr>
        <sz val="24"/>
        <color rgb="FF004A87"/>
        <rFont val="Calibri"/>
        <family val="2"/>
        <scheme val="minor"/>
      </rPr>
      <t>ANNUAL CASH FLOW</t>
    </r>
  </si>
  <si>
    <t>Facility Rental</t>
  </si>
  <si>
    <t>Property and Business</t>
  </si>
  <si>
    <t>TOTAL EXPENSES</t>
  </si>
  <si>
    <t>Up to $75,000 or 60% of project costs</t>
  </si>
  <si>
    <t>Public loans</t>
  </si>
  <si>
    <t>Business Expenses</t>
  </si>
  <si>
    <t>Adjusted Gross Income:</t>
  </si>
  <si>
    <t>(b) Accounts Receivable</t>
  </si>
  <si>
    <t>(c) Inventory</t>
  </si>
  <si>
    <t>(d) Rent Income</t>
  </si>
  <si>
    <t>(e) Prepaid Expenses</t>
  </si>
  <si>
    <t>(a) Income</t>
  </si>
  <si>
    <t>Income</t>
  </si>
  <si>
    <t>2. Cost of Goods Sold</t>
  </si>
  <si>
    <t>(f) Materials and Supplies</t>
  </si>
  <si>
    <t>(g) Uniforms</t>
  </si>
  <si>
    <t>(h) Subcontracted Services</t>
  </si>
  <si>
    <t>Total Income:</t>
  </si>
  <si>
    <t>(p) Bank Service Charges</t>
  </si>
  <si>
    <t>(k) Telephone/Internet</t>
  </si>
  <si>
    <t>(q) Dues &amp; Subscriptions</t>
  </si>
  <si>
    <t>(r) Meals &amp; Entertainment</t>
  </si>
  <si>
    <t>[End of year]  (4 minus 6)</t>
  </si>
  <si>
    <t>Building Repairs</t>
  </si>
  <si>
    <t>Exterior Improvements</t>
  </si>
  <si>
    <t>Fixtures/Plumbing</t>
  </si>
  <si>
    <t>Item: Electrical</t>
  </si>
  <si>
    <t>Utilities or Deposits</t>
  </si>
  <si>
    <t>Primary owner/operator</t>
  </si>
  <si>
    <t>Date</t>
  </si>
  <si>
    <t>Primary Employer</t>
  </si>
  <si>
    <t>Secondary Employer or Spouse Employer</t>
  </si>
  <si>
    <t xml:space="preserve">Item: </t>
  </si>
  <si>
    <t>Furniture/fixtures, etc.</t>
  </si>
  <si>
    <t>E-Community</t>
  </si>
  <si>
    <t xml:space="preserve">MCAC Loan </t>
  </si>
  <si>
    <t>Women and Minority Loan</t>
  </si>
  <si>
    <t>Up to $250,000 or 20% of Private/Bank Financing</t>
  </si>
  <si>
    <t>City of Coffeyville Small Business Loan</t>
  </si>
  <si>
    <t>Network Kansas Multiplier Fund</t>
  </si>
  <si>
    <t>Up to $250,000 or 9% of Private/Bank Financing</t>
  </si>
  <si>
    <t>SEK Regional Prosperity Foundation</t>
  </si>
  <si>
    <t>Up to $75,000</t>
  </si>
  <si>
    <t>MAMTC REAP</t>
  </si>
  <si>
    <t>25% Grant for energy Efficiency</t>
  </si>
  <si>
    <r>
      <t>OWNERS' INVESTMENT</t>
    </r>
    <r>
      <rPr>
        <sz val="12"/>
        <color rgb="FF004A87"/>
        <rFont val="Calibri"/>
        <family val="2"/>
        <scheme val="minor"/>
      </rPr>
      <t xml:space="preserve"> (NAME &amp; OWNERSHIP %)</t>
    </r>
  </si>
  <si>
    <t>Loan Principal Payment</t>
  </si>
  <si>
    <t>Capital Purchases [Specify]</t>
  </si>
  <si>
    <t>Other Start-up Costs</t>
  </si>
  <si>
    <t>Reserve and/or Escrow [Specify]</t>
  </si>
  <si>
    <t>Owner's Withdrawal</t>
  </si>
  <si>
    <t>Years in Operation</t>
  </si>
  <si>
    <t>Utilities</t>
  </si>
  <si>
    <t>Miscellaneous</t>
  </si>
  <si>
    <t>Up to $20,000 or 60% of project costs</t>
  </si>
  <si>
    <r>
      <t xml:space="preserve">ACTUAL </t>
    </r>
    <r>
      <rPr>
        <sz val="24"/>
        <color rgb="FF334E4E"/>
        <rFont val="Arial"/>
        <family val="2"/>
      </rPr>
      <t>CASH FLOW</t>
    </r>
    <r>
      <rPr>
        <b/>
        <sz val="24"/>
        <color rgb="FF334E4E"/>
        <rFont val="Arial"/>
        <family val="2"/>
      </rPr>
      <t xml:space="preserve"> (2020 Financials to current)</t>
    </r>
  </si>
  <si>
    <t>Cash Flow Template</t>
  </si>
  <si>
    <t>Ref Line</t>
  </si>
  <si>
    <t>Cash In</t>
  </si>
  <si>
    <t>JUL</t>
  </si>
  <si>
    <t>AUG</t>
  </si>
  <si>
    <t>SEP</t>
  </si>
  <si>
    <t>OCT</t>
  </si>
  <si>
    <t>NOV</t>
  </si>
  <si>
    <t>DEC</t>
  </si>
  <si>
    <t>JAN</t>
  </si>
  <si>
    <t>FEB</t>
  </si>
  <si>
    <t>MAR</t>
  </si>
  <si>
    <t>APR</t>
  </si>
  <si>
    <t>JUN</t>
  </si>
  <si>
    <t>Cash Sales</t>
  </si>
  <si>
    <t>Collections from Accounts Receivable</t>
  </si>
  <si>
    <t>Equity Received (outside employment wages added)</t>
  </si>
  <si>
    <t>E-Community Loan Proceeds</t>
  </si>
  <si>
    <t>Bank Loan Proceeds</t>
  </si>
  <si>
    <t>Sinking Fund</t>
  </si>
  <si>
    <t>Total Cash In</t>
  </si>
  <si>
    <t>Cash Out</t>
  </si>
  <si>
    <t>Inventory Expenditures</t>
  </si>
  <si>
    <t>Operating Expenses</t>
  </si>
  <si>
    <t>Licenses &amp; Fees</t>
  </si>
  <si>
    <t>Meals &amp; Entertainment</t>
  </si>
  <si>
    <t>Office Expenses and Supplies</t>
  </si>
  <si>
    <t>Payroll Expenses</t>
  </si>
  <si>
    <t>Salaries and Wages</t>
  </si>
  <si>
    <t>Benefits</t>
  </si>
  <si>
    <t>Property Taxes</t>
  </si>
  <si>
    <t>Rent</t>
  </si>
  <si>
    <t>Leased Equipment</t>
  </si>
  <si>
    <t>Estimated Income Tax Payments</t>
  </si>
  <si>
    <t>Loan Payment - E-Communituy</t>
  </si>
  <si>
    <t>Loan Payment - Bank</t>
  </si>
  <si>
    <t>Owner's Draw</t>
  </si>
  <si>
    <t>Total Cash Out</t>
  </si>
  <si>
    <t>Monthly Cash Flow (Cash In - Cash Out)</t>
  </si>
  <si>
    <t>Beginning Cash Balance</t>
  </si>
  <si>
    <t>Ending Cash Balance</t>
  </si>
  <si>
    <t>Video guide:</t>
  </si>
  <si>
    <t>https://youtu.be/agbSIYMCNy4</t>
  </si>
  <si>
    <t>Newspaper, radio &amp; FB</t>
  </si>
  <si>
    <t>Professional Fees - Real Estate Commission on Purchase of Property</t>
  </si>
  <si>
    <t>Telephone &amp; Internet</t>
  </si>
  <si>
    <t>Year: 2021</t>
  </si>
  <si>
    <t>Point of Sale System</t>
  </si>
  <si>
    <t>Pest Control</t>
  </si>
  <si>
    <t>Capital Improvements</t>
  </si>
  <si>
    <t>Cost of goods</t>
  </si>
  <si>
    <t>Coffee</t>
  </si>
  <si>
    <t>Pastries</t>
  </si>
  <si>
    <t>Payroll Taxes (8.25% of salaries)</t>
  </si>
  <si>
    <t>Self Employment taxes (15.3% of net income)</t>
  </si>
  <si>
    <t>Accounting and Legal</t>
  </si>
  <si>
    <t>LOAN CALCULATOR DATA</t>
  </si>
  <si>
    <t>This worksheet holds data that is used in loan calculations and to populate drop down lists. Changing information in it may result in incorrect loan payment calculations.</t>
  </si>
  <si>
    <t>Payment Frequency Lookup</t>
  </si>
  <si>
    <t>FREQUENCY</t>
  </si>
  <si>
    <t>MONTH INTERVAL</t>
  </si>
  <si>
    <t>DAY INTERVAL</t>
  </si>
  <si>
    <t>YEAR INTERVAL</t>
  </si>
  <si>
    <t>PAYMENTS PER YEAR</t>
  </si>
  <si>
    <t>Bi-monthly</t>
  </si>
  <si>
    <t>Quarterly</t>
  </si>
  <si>
    <t>Annually</t>
  </si>
  <si>
    <t>Net Income</t>
  </si>
  <si>
    <t>PAYMENT COMPARISON</t>
  </si>
  <si>
    <t>Ecommunity</t>
  </si>
  <si>
    <t>BANK</t>
  </si>
  <si>
    <t>LOAN AMOUNT</t>
  </si>
  <si>
    <t>START DATE OF PRINCIPLE &amp; INTEREST PAYMENTS</t>
  </si>
  <si>
    <t>LOAN PERIOD IN YEARS</t>
  </si>
  <si>
    <t>PAYMENT FREQUENCY</t>
  </si>
  <si>
    <t>ANNUAL INTEREST RATE</t>
  </si>
  <si>
    <t>SCHEDULED PAYMENT</t>
  </si>
  <si>
    <t>TOTAL PAYMENTS</t>
  </si>
  <si>
    <t>TOTAL INTEREST</t>
  </si>
  <si>
    <t>Cost of Loan</t>
  </si>
  <si>
    <t>INTRODUCTORY PERIOD</t>
  </si>
  <si>
    <t>START DATE OF INTRODUCTORY PERIOD</t>
  </si>
  <si>
    <t>PAYMENT SCHEDULE</t>
  </si>
  <si>
    <t>Select a Scenario</t>
  </si>
  <si>
    <t>GRACE PERIOD</t>
  </si>
  <si>
    <t>LOAN SCENARIO</t>
  </si>
  <si>
    <t>LOAN SUMMARY</t>
  </si>
  <si>
    <t>START DATE OF LOAN</t>
  </si>
  <si>
    <t>OPTIONAL EXTRA PAYMENT</t>
  </si>
  <si>
    <t>SCHEDULED # OF PAYMENTS</t>
  </si>
  <si>
    <t>ACTUAL # OF PAYMENTS</t>
  </si>
  <si>
    <t>TOTAL EARLY PAYMENTS</t>
  </si>
  <si>
    <t>ANNUAL INTEREST</t>
  </si>
  <si>
    <t>LATE FEE</t>
  </si>
  <si>
    <t>COST OF LOAN</t>
  </si>
  <si>
    <t>PAYMENT DATE</t>
  </si>
  <si>
    <t>BEGINNING BAL</t>
  </si>
  <si>
    <t>SCHEDULED PMT</t>
  </si>
  <si>
    <t>EXTRA PMT</t>
  </si>
  <si>
    <t>PAID IN FULL DATE</t>
  </si>
  <si>
    <t>TOTAL PMT</t>
  </si>
  <si>
    <t>PRINCIPAL</t>
  </si>
  <si>
    <t>INTEREST</t>
  </si>
  <si>
    <t>ENDING BAL</t>
  </si>
  <si>
    <t>CUMULATIVE INT</t>
  </si>
  <si>
    <t>GP</t>
  </si>
  <si>
    <t>ECOMMUNITY</t>
  </si>
  <si>
    <t>IWW</t>
  </si>
  <si>
    <t>STARTUP KANSAS I</t>
  </si>
  <si>
    <t>STARTUP KANSAS II</t>
  </si>
  <si>
    <t>WOMEN AND MINORITY</t>
  </si>
  <si>
    <t>StartUP Kansas I</t>
  </si>
  <si>
    <t>StartUp Kansas II</t>
  </si>
  <si>
    <t>Up to $25,000 or 60% of project costs</t>
  </si>
  <si>
    <t>Match Required</t>
  </si>
  <si>
    <t>NETWORK KS MATCH</t>
  </si>
  <si>
    <t>PRIVATE MATCH</t>
  </si>
  <si>
    <t>MATCH REMAINING</t>
  </si>
  <si>
    <t>RDA Up to $25,000</t>
  </si>
  <si>
    <t>Network Kansas Loan Proceeds</t>
  </si>
  <si>
    <t>Other Loan Proceeds</t>
  </si>
  <si>
    <t>Franchise Fee</t>
  </si>
  <si>
    <t>Payment Number</t>
  </si>
  <si>
    <t>StartUp Kansas I</t>
  </si>
  <si>
    <t>W&amp;M Multiplier</t>
  </si>
  <si>
    <t>MCAC</t>
  </si>
  <si>
    <t>Bank</t>
  </si>
  <si>
    <t>Option 1</t>
  </si>
  <si>
    <t>Option 2</t>
  </si>
  <si>
    <t>Option 3</t>
  </si>
  <si>
    <t>Option 4</t>
  </si>
  <si>
    <t>Option 5</t>
  </si>
  <si>
    <t>Network Kanssas Loan Proceeds</t>
  </si>
  <si>
    <t>Other Local Loan funds</t>
  </si>
  <si>
    <t>Increased by 2%</t>
  </si>
  <si>
    <t>Increased by 3%</t>
  </si>
  <si>
    <t>PRO FORMA PROFIT AND LOSS 5 Year Projections</t>
  </si>
  <si>
    <t>Real Estate Fees</t>
  </si>
  <si>
    <t>Other (Fees, taxes, etc.)</t>
  </si>
  <si>
    <t>Equipment (Change this to be specific on what type of equipment will be financed)</t>
  </si>
  <si>
    <t xml:space="preserve">Food/drinks </t>
  </si>
  <si>
    <t>Clothing/other inventory, etc</t>
  </si>
  <si>
    <t>Make this section applicable to your busienss!</t>
  </si>
  <si>
    <t>Personal investment into business (6 months history)</t>
  </si>
  <si>
    <t>Terms</t>
  </si>
  <si>
    <t>Real Estate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</si>
</sst>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_(&quot;$&quot;* #,##0_);_(&quot;$&quot;* \(#,##0\);_(&quot;$&quot;* &quot;-&quot;??_);_(@_)"/>
    <numFmt numFmtId="168" formatCode="&quot;$&quot;#,##0"/>
  </numFmts>
  <fonts count="77" x14ac:knownFonts="1">
    <font>
      <sz val="10"/>
      <color theme="1" tint="0.24994659260841701"/>
      <name val="Calibri"/>
      <family val="2"/>
      <scheme val="minor"/>
    </font>
    <font>
      <sz val="12"/>
      <color theme="1"/>
      <name val="Calibri"/>
      <family val="2"/>
      <scheme val="minor"/>
    </font>
    <font>
      <sz val="29"/>
      <color theme="4" tint="-0.24994659260841701"/>
      <name val="Calibri Light"/>
      <family val="2"/>
      <scheme val="major"/>
    </font>
    <font>
      <b/>
      <sz val="10"/>
      <color theme="1" tint="0.24994659260841701"/>
      <name val="Calibri"/>
      <family val="2"/>
      <scheme val="minor"/>
    </font>
    <font>
      <b/>
      <sz val="9"/>
      <color theme="4" tint="0.39991454817346722"/>
      <name val="Calibri"/>
      <family val="2"/>
      <scheme val="minor"/>
    </font>
    <font>
      <sz val="10"/>
      <color theme="1" tint="0.24994659260841701"/>
      <name val="Calibri"/>
      <family val="2"/>
      <scheme val="minor"/>
    </font>
    <font>
      <sz val="9"/>
      <name val="Arial"/>
      <family val="2"/>
    </font>
    <font>
      <b/>
      <sz val="8"/>
      <name val="Arial"/>
      <family val="2"/>
    </font>
    <font>
      <sz val="9"/>
      <color rgb="FF334E4E"/>
      <name val="Arial"/>
      <family val="2"/>
    </font>
    <font>
      <b/>
      <sz val="24"/>
      <color rgb="FF334E4E"/>
      <name val="Arial"/>
      <family val="2"/>
    </font>
    <font>
      <sz val="24"/>
      <color rgb="FF334E4E"/>
      <name val="Arial"/>
      <family val="2"/>
    </font>
    <font>
      <b/>
      <sz val="12"/>
      <color rgb="FF334E4E"/>
      <name val="Arial"/>
      <family val="2"/>
    </font>
    <font>
      <b/>
      <sz val="9"/>
      <color rgb="FF334E4E"/>
      <name val="Arial"/>
      <family val="2"/>
    </font>
    <font>
      <sz val="11"/>
      <color rgb="FF8CABB1"/>
      <name val="Arial"/>
      <family val="2"/>
    </font>
    <font>
      <b/>
      <sz val="8"/>
      <color rgb="FF334E4E"/>
      <name val="Arial"/>
      <family val="2"/>
    </font>
    <font>
      <b/>
      <u/>
      <sz val="9"/>
      <color rgb="FF334E4E"/>
      <name val="Arial"/>
      <family val="2"/>
    </font>
    <font>
      <sz val="8"/>
      <color rgb="FF334E4E"/>
      <name val="Arial"/>
      <family val="2"/>
    </font>
    <font>
      <b/>
      <sz val="12"/>
      <color rgb="FF94BD59"/>
      <name val="Arial"/>
      <family val="2"/>
    </font>
    <font>
      <sz val="10"/>
      <color theme="1" tint="0.34998626667073579"/>
      <name val="Calibri"/>
      <family val="2"/>
      <scheme val="minor"/>
    </font>
    <font>
      <b/>
      <sz val="10"/>
      <color theme="4" tint="-0.249977111117893"/>
      <name val="Calibri"/>
      <family val="2"/>
      <scheme val="minor"/>
    </font>
    <font>
      <b/>
      <sz val="11"/>
      <color theme="4"/>
      <name val="Calibri"/>
      <family val="2"/>
      <scheme val="minor"/>
    </font>
    <font>
      <sz val="29"/>
      <color rgb="FF004A87"/>
      <name val="Calibri"/>
      <family val="2"/>
      <scheme val="minor"/>
    </font>
    <font>
      <sz val="10"/>
      <color rgb="FF004A87"/>
      <name val="Calibri"/>
      <family val="2"/>
      <scheme val="minor"/>
    </font>
    <font>
      <sz val="20"/>
      <color rgb="FF004A87"/>
      <name val="Calibri Light"/>
      <family val="1"/>
      <scheme val="major"/>
    </font>
    <font>
      <b/>
      <sz val="10"/>
      <color rgb="FF004A87"/>
      <name val="Calibri Light"/>
      <family val="1"/>
      <scheme val="major"/>
    </font>
    <font>
      <b/>
      <sz val="9"/>
      <color rgb="FF004A87"/>
      <name val="Calibri"/>
      <family val="2"/>
      <scheme val="minor"/>
    </font>
    <font>
      <b/>
      <sz val="10"/>
      <color rgb="FF004A87"/>
      <name val="Calibri"/>
      <family val="2"/>
      <scheme val="minor"/>
    </font>
    <font>
      <b/>
      <sz val="29"/>
      <color rgb="FF004A87"/>
      <name val="Calibri"/>
      <family val="2"/>
      <scheme val="minor"/>
    </font>
    <font>
      <b/>
      <sz val="12"/>
      <color rgb="FF004A87"/>
      <name val="Arial"/>
      <family val="2"/>
    </font>
    <font>
      <i/>
      <sz val="12"/>
      <color rgb="FF004A87"/>
      <name val="Arial"/>
      <family val="2"/>
    </font>
    <font>
      <i/>
      <sz val="10"/>
      <color rgb="FF004A87"/>
      <name val="Calibri"/>
      <family val="2"/>
      <scheme val="minor"/>
    </font>
    <font>
      <b/>
      <sz val="24"/>
      <color rgb="FF004A87"/>
      <name val="Calibri"/>
      <family val="2"/>
      <scheme val="minor"/>
    </font>
    <font>
      <sz val="24"/>
      <color rgb="FF004A87"/>
      <name val="Calibri"/>
      <family val="2"/>
      <scheme val="minor"/>
    </font>
    <font>
      <sz val="12"/>
      <color rgb="FF004A87"/>
      <name val="Calibri Light"/>
      <family val="1"/>
      <scheme val="major"/>
    </font>
    <font>
      <b/>
      <sz val="12"/>
      <color rgb="FF004A87"/>
      <name val="Calibri Light"/>
      <family val="1"/>
      <scheme val="major"/>
    </font>
    <font>
      <sz val="12"/>
      <color rgb="FF004A87"/>
      <name val="Arial"/>
      <family val="2"/>
    </font>
    <font>
      <b/>
      <sz val="11"/>
      <color theme="0"/>
      <name val="Calibri"/>
      <family val="2"/>
      <scheme val="minor"/>
    </font>
    <font>
      <b/>
      <sz val="9"/>
      <name val="Arial"/>
      <family val="2"/>
    </font>
    <font>
      <sz val="9"/>
      <color theme="1"/>
      <name val="Arial"/>
      <family val="2"/>
    </font>
    <font>
      <sz val="11"/>
      <color theme="1" tint="0.24994659260841701"/>
      <name val="Calibri"/>
      <family val="2"/>
      <scheme val="minor"/>
    </font>
    <font>
      <sz val="16"/>
      <color theme="3" tint="-0.24994659260841701"/>
      <name val="Calibri Light"/>
      <family val="2"/>
      <scheme val="major"/>
    </font>
    <font>
      <sz val="16"/>
      <name val="Calibri"/>
      <family val="2"/>
      <scheme val="minor"/>
    </font>
    <font>
      <sz val="11"/>
      <name val="Calibri"/>
      <family val="2"/>
      <scheme val="minor"/>
    </font>
    <font>
      <b/>
      <sz val="20"/>
      <color theme="3"/>
      <name val="Calibri Light"/>
      <family val="2"/>
      <scheme val="major"/>
    </font>
    <font>
      <sz val="16"/>
      <color theme="3" tint="-0.24994659260841701"/>
      <name val="Calibri"/>
      <family val="2"/>
      <scheme val="minor"/>
    </font>
    <font>
      <b/>
      <sz val="16"/>
      <color theme="0"/>
      <name val="Calibri"/>
      <family val="2"/>
      <scheme val="minor"/>
    </font>
    <font>
      <sz val="12"/>
      <color theme="0"/>
      <name val="Calibri"/>
      <family val="2"/>
      <scheme val="minor"/>
    </font>
    <font>
      <sz val="12"/>
      <color rgb="FF004A87"/>
      <name val="Calibri"/>
      <family val="2"/>
      <scheme val="minor"/>
    </font>
    <font>
      <b/>
      <sz val="12"/>
      <color rgb="FF004A87"/>
      <name val="Calibri"/>
      <family val="2"/>
      <scheme val="minor"/>
    </font>
    <font>
      <b/>
      <sz val="12"/>
      <color theme="0"/>
      <name val="Calibri Light"/>
      <family val="1"/>
      <scheme val="major"/>
    </font>
    <font>
      <sz val="28"/>
      <color rgb="FF004A87"/>
      <name val="Calibri"/>
      <family val="2"/>
      <scheme val="minor"/>
    </font>
    <font>
      <sz val="11"/>
      <color theme="1"/>
      <name val="Arial"/>
      <family val="2"/>
    </font>
    <font>
      <b/>
      <sz val="9"/>
      <color theme="1"/>
      <name val="Arial"/>
      <family val="2"/>
    </font>
    <font>
      <b/>
      <sz val="24"/>
      <color rgb="FF004A87"/>
      <name val="Calibri"/>
      <family val="2"/>
    </font>
    <font>
      <b/>
      <sz val="12"/>
      <color rgb="FF004A87"/>
      <name val="Calibri"/>
      <family val="2"/>
    </font>
    <font>
      <b/>
      <sz val="8"/>
      <color theme="1"/>
      <name val="Arial"/>
      <family val="2"/>
    </font>
    <font>
      <b/>
      <sz val="10"/>
      <color theme="1"/>
      <name val="Arial"/>
      <family val="2"/>
    </font>
    <font>
      <sz val="9"/>
      <color theme="0"/>
      <name val="Arial"/>
      <family val="2"/>
    </font>
    <font>
      <b/>
      <sz val="9"/>
      <color theme="0"/>
      <name val="Arial"/>
      <family val="2"/>
    </font>
    <font>
      <sz val="10"/>
      <color theme="0"/>
      <name val="Calibri"/>
      <family val="2"/>
      <scheme val="minor"/>
    </font>
    <font>
      <b/>
      <sz val="12"/>
      <color theme="1"/>
      <name val="Calibri"/>
      <family val="2"/>
      <scheme val="minor"/>
    </font>
    <font>
      <u/>
      <sz val="10"/>
      <color theme="10"/>
      <name val="Calibri"/>
      <family val="2"/>
      <scheme val="minor"/>
    </font>
    <font>
      <b/>
      <sz val="11"/>
      <color theme="1"/>
      <name val="Calibri"/>
      <family val="2"/>
      <scheme val="minor"/>
    </font>
    <font>
      <b/>
      <sz val="24"/>
      <color theme="1" tint="0.24994659260841701"/>
      <name val="Arial"/>
      <family val="2"/>
    </font>
    <font>
      <sz val="12"/>
      <color theme="1" tint="0.24994659260841701"/>
      <name val="Calibri"/>
      <family val="2"/>
      <scheme val="minor"/>
    </font>
    <font>
      <sz val="8"/>
      <name val="Calibri"/>
      <family val="2"/>
      <scheme val="minor"/>
    </font>
    <font>
      <i/>
      <sz val="12"/>
      <color rgb="FF7F7F7F"/>
      <name val="Calibri"/>
      <family val="2"/>
      <scheme val="minor"/>
    </font>
    <font>
      <sz val="16"/>
      <color theme="1" tint="0.24994659260841701"/>
      <name val="Calibri"/>
      <family val="2"/>
      <scheme val="minor"/>
    </font>
    <font>
      <sz val="16"/>
      <color theme="3"/>
      <name val="Calibri Light"/>
      <family val="2"/>
      <scheme val="major"/>
    </font>
    <font>
      <sz val="16"/>
      <color theme="3"/>
      <name val="Calibri"/>
      <family val="2"/>
      <scheme val="minor"/>
    </font>
    <font>
      <sz val="16"/>
      <color theme="0"/>
      <name val="Calibri"/>
      <family val="2"/>
      <scheme val="minor"/>
    </font>
    <font>
      <sz val="14"/>
      <color theme="1" tint="0.24994659260841701"/>
      <name val="Calibri"/>
      <family val="2"/>
      <scheme val="minor"/>
    </font>
    <font>
      <b/>
      <sz val="11"/>
      <color theme="0"/>
      <name val="Calibri Light"/>
      <family val="1"/>
      <scheme val="major"/>
    </font>
    <font>
      <b/>
      <sz val="10"/>
      <name val="Calibri"/>
      <family val="2"/>
      <scheme val="minor"/>
    </font>
    <font>
      <sz val="11"/>
      <color theme="3" tint="-0.24994659260841701"/>
      <name val="Calibri"/>
      <family val="2"/>
      <scheme val="minor"/>
    </font>
    <font>
      <sz val="10"/>
      <color indexed="23"/>
      <name val="Calibri"/>
      <family val="2"/>
      <scheme val="minor"/>
    </font>
    <font>
      <sz val="10"/>
      <color theme="1"/>
      <name val="Calibri"/>
      <family val="1"/>
      <scheme val="minor"/>
    </font>
  </fonts>
  <fills count="68">
    <fill>
      <patternFill patternType="none"/>
    </fill>
    <fill>
      <patternFill patternType="gray125"/>
    </fill>
    <fill>
      <patternFill patternType="solid">
        <fgColor theme="0" tint="-4.9989318521683403E-2"/>
        <bgColor indexed="64"/>
      </patternFill>
    </fill>
    <fill>
      <patternFill patternType="solid">
        <fgColor rgb="FFE7EEEF"/>
        <bgColor rgb="FF000000"/>
      </patternFill>
    </fill>
    <fill>
      <patternFill patternType="lightUp">
        <fgColor rgb="FFD9D9D9"/>
        <bgColor rgb="FFFFFFFF"/>
      </patternFill>
    </fill>
    <fill>
      <patternFill patternType="solid">
        <fgColor rgb="FFD0DDDF"/>
        <bgColor rgb="FF000000"/>
      </patternFill>
    </fill>
    <fill>
      <patternFill patternType="solid">
        <fgColor rgb="FFD9D9D9"/>
        <bgColor rgb="FF000000"/>
      </patternFill>
    </fill>
    <fill>
      <patternFill patternType="solid">
        <fgColor rgb="FFF2F2F2"/>
        <bgColor rgb="FF000000"/>
      </patternFill>
    </fill>
    <fill>
      <patternFill patternType="solid">
        <fgColor rgb="FFBFBFBF"/>
        <bgColor rgb="FF000000"/>
      </patternFill>
    </fill>
    <fill>
      <patternFill patternType="solid">
        <fgColor rgb="FFF9EFD9"/>
        <bgColor rgb="FF000000"/>
      </patternFill>
    </fill>
    <fill>
      <patternFill patternType="solid">
        <fgColor rgb="FFF3DFB1"/>
        <bgColor rgb="FF000000"/>
      </patternFill>
    </fill>
    <fill>
      <patternFill patternType="solid">
        <fgColor rgb="FFD5E4BC"/>
        <bgColor rgb="FF000000"/>
      </patternFill>
    </fill>
    <fill>
      <patternFill patternType="lightUp">
        <fgColor rgb="FFD9D9D9"/>
        <bgColor auto="1"/>
      </patternFill>
    </fill>
    <fill>
      <patternFill patternType="solid">
        <fgColor rgb="FFBFD79B"/>
        <bgColor rgb="FF000000"/>
      </patternFill>
    </fill>
    <fill>
      <patternFill patternType="lightUp">
        <fgColor rgb="FFBFBFBF"/>
        <bgColor rgb="FFD9D9D9"/>
      </patternFill>
    </fill>
    <fill>
      <patternFill patternType="solid">
        <fgColor theme="4" tint="-0.499984740745262"/>
        <bgColor indexed="64"/>
      </patternFill>
    </fill>
    <fill>
      <patternFill patternType="solid">
        <fgColor theme="4" tint="0.79998168889431442"/>
        <bgColor indexed="65"/>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2"/>
        <bgColor rgb="FF000000"/>
      </patternFill>
    </fill>
    <fill>
      <patternFill patternType="solid">
        <fgColor theme="0" tint="-0.249977111117893"/>
        <bgColor rgb="FF000000"/>
      </patternFill>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
      <patternFill patternType="solid">
        <fgColor indexed="9"/>
        <bgColor indexed="64"/>
      </patternFill>
    </fill>
    <fill>
      <patternFill patternType="solid">
        <fgColor theme="3"/>
        <bgColor indexed="64"/>
      </patternFill>
    </fill>
    <fill>
      <patternFill patternType="solid">
        <fgColor theme="5" tint="-0.24994659260841701"/>
        <bgColor indexed="64"/>
      </patternFill>
    </fill>
    <fill>
      <patternFill patternType="solid">
        <fgColor theme="8" tint="-0.499984740745262"/>
        <bgColor indexed="64"/>
      </patternFill>
    </fill>
    <fill>
      <patternFill patternType="solid">
        <fgColor rgb="FFE7EEEF"/>
        <bgColor rgb="FFE7EEEF"/>
      </patternFill>
    </fill>
    <fill>
      <patternFill patternType="solid">
        <fgColor rgb="FFE7EEF0"/>
        <bgColor rgb="FFFFFFFF"/>
      </patternFill>
    </fill>
    <fill>
      <patternFill patternType="solid">
        <fgColor rgb="FFE7EEF0"/>
        <bgColor indexed="64"/>
      </patternFill>
    </fill>
    <fill>
      <patternFill patternType="solid">
        <fgColor rgb="FFE7EEF0"/>
        <bgColor rgb="FFE7E6E6"/>
      </patternFill>
    </fill>
    <fill>
      <patternFill patternType="solid">
        <fgColor rgb="FFD0DDDF"/>
        <bgColor rgb="FFD0DDDF"/>
      </patternFill>
    </fill>
    <fill>
      <patternFill patternType="solid">
        <fgColor rgb="FFD1DDDF"/>
        <bgColor indexed="64"/>
      </patternFill>
    </fill>
    <fill>
      <patternFill patternType="solid">
        <fgColor rgb="FFF9EFD9"/>
        <bgColor rgb="FFF9EFD9"/>
      </patternFill>
    </fill>
    <fill>
      <patternFill patternType="solid">
        <fgColor rgb="FFF9EFD9"/>
        <bgColor indexed="64"/>
      </patternFill>
    </fill>
    <fill>
      <patternFill patternType="solid">
        <fgColor rgb="FFF3DFB1"/>
        <bgColor rgb="FFF3DFB1"/>
      </patternFill>
    </fill>
    <fill>
      <patternFill patternType="solid">
        <fgColor rgb="FFF3DFB1"/>
        <bgColor rgb="FFF9EFD9"/>
      </patternFill>
    </fill>
    <fill>
      <patternFill patternType="solid">
        <fgColor rgb="FFF3DFB1"/>
        <bgColor indexed="64"/>
      </patternFill>
    </fill>
    <fill>
      <patternFill patternType="solid">
        <fgColor rgb="FFF2F2F2"/>
        <bgColor rgb="FFF2F2F2"/>
      </patternFill>
    </fill>
    <fill>
      <patternFill patternType="solid">
        <fgColor rgb="FFE7EEF1"/>
        <bgColor rgb="FFD0DDDF"/>
      </patternFill>
    </fill>
    <fill>
      <patternFill patternType="solid">
        <fgColor rgb="FFD2DDDF"/>
        <bgColor rgb="FFFFFFFF"/>
      </patternFill>
    </fill>
    <fill>
      <patternFill patternType="solid">
        <fgColor rgb="FFD2DDDF"/>
        <bgColor indexed="64"/>
      </patternFill>
    </fill>
    <fill>
      <patternFill patternType="solid">
        <fgColor rgb="FFE7E6E6"/>
        <bgColor rgb="FFF3DFB1"/>
      </patternFill>
    </fill>
    <fill>
      <patternFill patternType="solid">
        <fgColor rgb="FFF9EFDA"/>
        <bgColor rgb="FFF3DFB1"/>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E6E0FF"/>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CFBC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D0DEE0"/>
        <bgColor rgb="FFD0DDDF"/>
      </patternFill>
    </fill>
    <fill>
      <patternFill patternType="solid">
        <fgColor rgb="FFD0DEE0"/>
        <bgColor rgb="FFFFFFFF"/>
      </patternFill>
    </fill>
    <fill>
      <patternFill patternType="solid">
        <fgColor rgb="FFD0DEE0"/>
        <bgColor indexed="64"/>
      </patternFill>
    </fill>
    <fill>
      <patternFill patternType="solid">
        <fgColor rgb="FFD0DEE0"/>
        <bgColor rgb="FFE7E6E6"/>
      </patternFill>
    </fill>
  </fills>
  <borders count="47">
    <border>
      <left/>
      <right/>
      <top/>
      <bottom/>
      <diagonal/>
    </border>
    <border>
      <left/>
      <right/>
      <top/>
      <bottom style="thick">
        <color rgb="FF94BD59"/>
      </bottom>
      <diagonal/>
    </border>
    <border>
      <left/>
      <right/>
      <top/>
      <bottom style="medium">
        <color rgb="FF334E4E"/>
      </bottom>
      <diagonal/>
    </border>
    <border>
      <left style="thin">
        <color rgb="FF334E4E"/>
      </left>
      <right style="thin">
        <color rgb="FF334E4E"/>
      </right>
      <top/>
      <bottom style="medium">
        <color rgb="FF334E4E"/>
      </bottom>
      <diagonal/>
    </border>
    <border>
      <left style="thin">
        <color rgb="FF334E4E"/>
      </left>
      <right/>
      <top/>
      <bottom style="medium">
        <color rgb="FF334E4E"/>
      </bottom>
      <diagonal/>
    </border>
    <border>
      <left style="medium">
        <color rgb="FFFFFFFF"/>
      </left>
      <right/>
      <top style="medium">
        <color rgb="FF334E4E"/>
      </top>
      <bottom/>
      <diagonal/>
    </border>
    <border>
      <left style="medium">
        <color rgb="FFFFFFFF"/>
      </left>
      <right/>
      <top/>
      <bottom style="medium">
        <color rgb="FF334E4E"/>
      </bottom>
      <diagonal/>
    </border>
    <border>
      <left style="medium">
        <color rgb="FFFFFFFF"/>
      </left>
      <right style="medium">
        <color rgb="FFFFFFFF"/>
      </right>
      <top/>
      <bottom style="medium">
        <color rgb="FF334E4E"/>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ck">
        <color rgb="FF004A87"/>
      </top>
      <bottom/>
      <diagonal/>
    </border>
    <border>
      <left/>
      <right/>
      <top/>
      <bottom style="thick">
        <color rgb="FF004A87"/>
      </bottom>
      <diagonal/>
    </border>
    <border>
      <left/>
      <right/>
      <top style="thin">
        <color indexed="64"/>
      </top>
      <bottom style="double">
        <color indexed="64"/>
      </bottom>
      <diagonal/>
    </border>
    <border>
      <left style="medium">
        <color rgb="FFFFFFFF"/>
      </left>
      <right style="medium">
        <color rgb="FFFFFFFF"/>
      </right>
      <top style="thin">
        <color indexed="64"/>
      </top>
      <bottom style="double">
        <color indexed="64"/>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right/>
      <top style="thick">
        <color theme="9"/>
      </top>
      <bottom style="thick">
        <color theme="9"/>
      </bottom>
      <diagonal/>
    </border>
    <border>
      <left/>
      <right/>
      <top style="thick">
        <color theme="9"/>
      </top>
      <bottom style="medium">
        <color theme="9"/>
      </bottom>
      <diagonal/>
    </border>
    <border>
      <left/>
      <right/>
      <top/>
      <bottom style="medium">
        <color theme="9"/>
      </bottom>
      <diagonal/>
    </border>
    <border>
      <left/>
      <right style="thick">
        <color theme="9"/>
      </right>
      <top/>
      <bottom style="medium">
        <color theme="9"/>
      </bottom>
      <diagonal/>
    </border>
    <border>
      <left/>
      <right style="thick">
        <color theme="9"/>
      </right>
      <top style="thick">
        <color theme="9"/>
      </top>
      <bottom style="thick">
        <color theme="9"/>
      </bottom>
      <diagonal/>
    </border>
    <border>
      <left style="thick">
        <color theme="9"/>
      </left>
      <right/>
      <top style="thick">
        <color theme="9"/>
      </top>
      <bottom style="medium">
        <color theme="9"/>
      </bottom>
      <diagonal/>
    </border>
    <border>
      <left style="thick">
        <color theme="9"/>
      </left>
      <right/>
      <top/>
      <bottom style="medium">
        <color theme="9"/>
      </bottom>
      <diagonal/>
    </border>
    <border>
      <left style="thick">
        <color theme="9"/>
      </left>
      <right/>
      <top style="thick">
        <color theme="9"/>
      </top>
      <bottom style="thick">
        <color theme="9"/>
      </bottom>
      <diagonal/>
    </border>
    <border>
      <left style="medium">
        <color rgb="FF004A87"/>
      </left>
      <right style="medium">
        <color rgb="FFFFFFFF"/>
      </right>
      <top style="medium">
        <color rgb="FF004A87"/>
      </top>
      <bottom style="medium">
        <color rgb="FF004A87"/>
      </bottom>
      <diagonal/>
    </border>
    <border>
      <left style="medium">
        <color rgb="FFFFFFFF"/>
      </left>
      <right style="medium">
        <color rgb="FFFFFFFF"/>
      </right>
      <top style="medium">
        <color rgb="FF004A87"/>
      </top>
      <bottom style="medium">
        <color rgb="FF004A87"/>
      </bottom>
      <diagonal/>
    </border>
    <border>
      <left/>
      <right style="medium">
        <color rgb="FF004A87"/>
      </right>
      <top style="medium">
        <color rgb="FF004A87"/>
      </top>
      <bottom style="medium">
        <color rgb="FF004A87"/>
      </bottom>
      <diagonal/>
    </border>
    <border>
      <left style="medium">
        <color rgb="FF004A87"/>
      </left>
      <right/>
      <top style="medium">
        <color rgb="FF004A87"/>
      </top>
      <bottom style="medium">
        <color rgb="FF004A87"/>
      </bottom>
      <diagonal/>
    </border>
    <border>
      <left style="medium">
        <color rgb="FFFFFFFF"/>
      </left>
      <right style="medium">
        <color rgb="FF004A87"/>
      </right>
      <top style="medium">
        <color rgb="FF004A87"/>
      </top>
      <bottom style="medium">
        <color rgb="FF004A87"/>
      </bottom>
      <diagonal/>
    </border>
    <border>
      <left/>
      <right style="medium">
        <color rgb="FFFFFFFF"/>
      </right>
      <top style="medium">
        <color rgb="FF004A87"/>
      </top>
      <bottom style="medium">
        <color rgb="FF004A87"/>
      </bottom>
      <diagonal/>
    </border>
    <border>
      <left/>
      <right/>
      <top style="medium">
        <color rgb="FF004A87"/>
      </top>
      <bottom style="medium">
        <color rgb="FF004A87"/>
      </bottom>
      <diagonal/>
    </border>
    <border>
      <left/>
      <right/>
      <top style="medium">
        <color rgb="FF334E4E"/>
      </top>
      <bottom/>
      <diagonal/>
    </border>
    <border>
      <left/>
      <right style="medium">
        <color rgb="FFFFFFFF"/>
      </right>
      <top style="medium">
        <color rgb="FF334E4E"/>
      </top>
      <bottom/>
      <diagonal/>
    </border>
    <border>
      <left/>
      <right/>
      <top/>
      <bottom style="medium">
        <color rgb="FF004A87"/>
      </bottom>
      <diagonal/>
    </border>
    <border>
      <left/>
      <right style="medium">
        <color rgb="FFFFFFFF"/>
      </right>
      <top/>
      <bottom style="medium">
        <color rgb="FF004A87"/>
      </bottom>
      <diagonal/>
    </border>
    <border>
      <left style="thick">
        <color theme="0"/>
      </left>
      <right/>
      <top/>
      <bottom/>
      <diagonal/>
    </border>
    <border>
      <left/>
      <right style="thick">
        <color theme="9"/>
      </right>
      <top style="medium">
        <color theme="9"/>
      </top>
      <bottom/>
      <diagonal/>
    </border>
    <border>
      <left/>
      <right style="thick">
        <color theme="9"/>
      </right>
      <top style="thick">
        <color theme="9"/>
      </top>
      <bottom style="medium">
        <color theme="9"/>
      </bottom>
      <diagonal/>
    </border>
    <border>
      <left/>
      <right/>
      <top style="medium">
        <color theme="9"/>
      </top>
      <bottom/>
      <diagonal/>
    </border>
    <border>
      <left style="thick">
        <color theme="9"/>
      </left>
      <right/>
      <top style="medium">
        <color theme="9"/>
      </top>
      <bottom/>
      <diagonal/>
    </border>
  </borders>
  <cellStyleXfs count="31">
    <xf numFmtId="0" fontId="0" fillId="0" borderId="0">
      <alignment vertical="center"/>
    </xf>
    <xf numFmtId="0" fontId="2" fillId="0" borderId="0" applyNumberFormat="0" applyFill="0" applyBorder="0" applyAlignment="0" applyProtection="0"/>
    <xf numFmtId="0" fontId="31" fillId="0" borderId="15" applyNumberFormat="0" applyFill="0" applyAlignment="0" applyProtection="0"/>
    <xf numFmtId="0" fontId="25" fillId="0" borderId="14" applyNumberFormat="0" applyFill="0" applyProtection="0">
      <alignment horizontal="left" vertical="center" indent="1"/>
    </xf>
    <xf numFmtId="0" fontId="33" fillId="0" borderId="0" applyNumberFormat="0" applyFill="0" applyBorder="0" applyAlignment="0" applyProtection="0"/>
    <xf numFmtId="0" fontId="4"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64" fontId="39" fillId="23" borderId="0" applyFont="0" applyFill="0" applyBorder="0" applyAlignment="0" applyProtection="0"/>
    <xf numFmtId="0" fontId="39" fillId="16" borderId="0" applyNumberFormat="0" applyFont="0" applyAlignment="0">
      <alignment horizontal="center" vertical="center" wrapText="1"/>
    </xf>
    <xf numFmtId="1" fontId="39" fillId="16" borderId="0" applyFont="0" applyFill="0" applyBorder="0" applyAlignment="0"/>
    <xf numFmtId="14" fontId="39" fillId="0" borderId="0" applyFont="0" applyFill="0" applyBorder="0" applyAlignment="0"/>
    <xf numFmtId="0" fontId="36" fillId="15" borderId="0" applyBorder="0" applyProtection="0">
      <alignment horizontal="right" vertical="center" wrapText="1" indent="2"/>
    </xf>
    <xf numFmtId="164" fontId="39" fillId="23" borderId="0" applyFont="0" applyFill="0" applyBorder="0" applyProtection="0">
      <alignment horizontal="right" indent="2"/>
    </xf>
    <xf numFmtId="0" fontId="40" fillId="23" borderId="0" applyBorder="0" applyProtection="0">
      <alignment horizontal="center" vertical="center"/>
    </xf>
    <xf numFmtId="0" fontId="36" fillId="25" borderId="0" applyBorder="0" applyAlignment="0">
      <alignment horizontal="center" vertical="center" wrapText="1"/>
    </xf>
    <xf numFmtId="164" fontId="41" fillId="26" borderId="0" applyFill="0" applyBorder="0" applyAlignment="0">
      <alignment horizontal="center" vertical="center" wrapText="1"/>
    </xf>
    <xf numFmtId="14" fontId="42" fillId="0" borderId="0" applyFill="0" applyBorder="0">
      <alignment horizontal="left" vertical="center"/>
    </xf>
    <xf numFmtId="44" fontId="42" fillId="0" borderId="0" applyFont="0" applyFill="0" applyBorder="0" applyAlignment="0">
      <alignment horizontal="left" vertical="center"/>
    </xf>
    <xf numFmtId="44" fontId="42" fillId="24" borderId="0" applyFont="0" applyFill="0" applyBorder="0" applyAlignment="0">
      <alignment horizontal="right" vertical="center"/>
    </xf>
    <xf numFmtId="164" fontId="43" fillId="21" borderId="0">
      <alignment horizontal="left" vertical="center" indent="1"/>
      <protection locked="0"/>
    </xf>
    <xf numFmtId="0" fontId="44" fillId="0" borderId="0" applyNumberFormat="0" applyFill="0" applyBorder="0">
      <alignment horizontal="center" vertical="center" wrapText="1"/>
    </xf>
    <xf numFmtId="0" fontId="45" fillId="25" borderId="0">
      <alignment wrapText="1"/>
    </xf>
    <xf numFmtId="1" fontId="42" fillId="0" borderId="0" applyFill="0" applyBorder="0">
      <alignment horizontal="center" vertical="center"/>
    </xf>
    <xf numFmtId="0" fontId="61" fillId="0" borderId="0" applyNumberFormat="0" applyFill="0" applyBorder="0" applyAlignment="0" applyProtection="0">
      <alignment vertical="center"/>
    </xf>
    <xf numFmtId="0" fontId="66" fillId="0" borderId="0" applyNumberFormat="0" applyFill="0" applyBorder="0" applyAlignment="0" applyProtection="0"/>
    <xf numFmtId="0" fontId="1" fillId="16"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cellStyleXfs>
  <cellXfs count="473">
    <xf numFmtId="0" fontId="0" fillId="0" borderId="0" xfId="0">
      <alignment vertical="center"/>
    </xf>
    <xf numFmtId="0" fontId="31" fillId="0" borderId="15" xfId="2" applyAlignment="1">
      <alignment vertical="center"/>
    </xf>
    <xf numFmtId="0" fontId="0" fillId="0" borderId="0" xfId="0" applyAlignment="1">
      <alignment horizontal="left" vertical="center" indent="1"/>
    </xf>
    <xf numFmtId="0" fontId="33" fillId="0" borderId="0" xfId="4" applyAlignment="1">
      <alignment horizontal="right" vertical="center"/>
    </xf>
    <xf numFmtId="164" fontId="0" fillId="0" borderId="0" xfId="0" applyNumberFormat="1" applyAlignment="1">
      <alignment horizontal="right" vertical="center" indent="1"/>
    </xf>
    <xf numFmtId="0" fontId="3" fillId="2" borderId="0" xfId="0" applyFont="1" applyFill="1" applyAlignment="1">
      <alignment horizontal="left" vertical="center" indent="1"/>
    </xf>
    <xf numFmtId="0" fontId="3" fillId="2" borderId="0" xfId="0" applyFont="1" applyFill="1">
      <alignment vertical="center"/>
    </xf>
    <xf numFmtId="164" fontId="3" fillId="2" borderId="0" xfId="0" applyNumberFormat="1" applyFont="1" applyFill="1" applyAlignment="1">
      <alignment horizontal="right" vertical="center" indent="1"/>
    </xf>
    <xf numFmtId="0" fontId="2" fillId="0" borderId="0" xfId="1" applyAlignment="1">
      <alignment horizontal="left" vertical="center" indent="1"/>
    </xf>
    <xf numFmtId="0" fontId="25" fillId="0" borderId="14" xfId="3">
      <alignment horizontal="left" vertical="center" indent="1"/>
    </xf>
    <xf numFmtId="0" fontId="25" fillId="0" borderId="14" xfId="3" applyAlignment="1">
      <alignment horizontal="right" vertical="center" indent="1"/>
    </xf>
    <xf numFmtId="0" fontId="0" fillId="0" borderId="0" xfId="0" applyAlignment="1">
      <alignment horizontal="right" vertical="center"/>
    </xf>
    <xf numFmtId="0" fontId="25" fillId="0" borderId="14" xfId="3" applyAlignment="1">
      <alignment horizontal="left" vertical="center"/>
    </xf>
    <xf numFmtId="0" fontId="0" fillId="0" borderId="0" xfId="0" applyAlignment="1">
      <alignment horizontal="center" vertical="center"/>
    </xf>
    <xf numFmtId="0" fontId="6" fillId="0" borderId="0" xfId="0" applyFont="1" applyFill="1" applyBorder="1" applyAlignment="1">
      <alignment vertical="top" wrapText="1"/>
    </xf>
    <xf numFmtId="0" fontId="6" fillId="0" borderId="0" xfId="0" applyFont="1" applyFill="1" applyBorder="1">
      <alignment vertical="center"/>
    </xf>
    <xf numFmtId="0" fontId="8" fillId="0" borderId="0" xfId="0" applyFont="1" applyFill="1" applyBorder="1">
      <alignment vertical="center"/>
    </xf>
    <xf numFmtId="0" fontId="8" fillId="0" borderId="0" xfId="0" applyNumberFormat="1" applyFont="1" applyFill="1" applyBorder="1" applyAlignment="1">
      <alignment horizontal="center" vertical="center"/>
    </xf>
    <xf numFmtId="0" fontId="11" fillId="0" borderId="0" xfId="4" applyFont="1" applyFill="1" applyBorder="1" applyAlignment="1">
      <alignment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165" fontId="13" fillId="0" borderId="0" xfId="5" applyNumberFormat="1" applyFont="1" applyFill="1" applyBorder="1" applyAlignment="1">
      <alignment horizontal="left" vertical="center"/>
    </xf>
    <xf numFmtId="0" fontId="8"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15" fillId="3" borderId="0" xfId="5" applyFont="1" applyFill="1" applyBorder="1" applyAlignment="1">
      <alignment horizontal="left" vertical="center" indent="1"/>
    </xf>
    <xf numFmtId="164" fontId="8" fillId="0" borderId="5" xfId="6" applyNumberFormat="1" applyFont="1" applyFill="1" applyBorder="1" applyAlignment="1">
      <alignment horizontal="right" vertical="center"/>
    </xf>
    <xf numFmtId="164" fontId="8" fillId="0" borderId="0" xfId="6" applyNumberFormat="1" applyFont="1" applyFill="1" applyBorder="1" applyAlignment="1">
      <alignment horizontal="right" vertical="center"/>
    </xf>
    <xf numFmtId="166" fontId="12" fillId="4" borderId="5" xfId="6" applyNumberFormat="1" applyFont="1" applyFill="1" applyBorder="1" applyAlignment="1">
      <alignment horizontal="right" vertical="center"/>
    </xf>
    <xf numFmtId="0" fontId="8" fillId="5" borderId="2" xfId="0" applyFont="1" applyFill="1" applyBorder="1" applyAlignment="1">
      <alignment horizontal="left" vertical="center" wrapText="1" indent="2"/>
    </xf>
    <xf numFmtId="0" fontId="12" fillId="0" borderId="6" xfId="0" applyFont="1" applyFill="1" applyBorder="1" applyAlignment="1">
      <alignment horizontal="right" vertical="center" wrapText="1" indent="2"/>
    </xf>
    <xf numFmtId="164" fontId="12" fillId="6" borderId="7" xfId="0" applyNumberFormat="1" applyFont="1" applyFill="1" applyBorder="1" applyAlignment="1">
      <alignment horizontal="right" vertical="center" wrapText="1" indent="2"/>
    </xf>
    <xf numFmtId="164" fontId="12" fillId="6" borderId="6" xfId="0" applyNumberFormat="1" applyFont="1" applyFill="1" applyBorder="1" applyAlignment="1">
      <alignment horizontal="right" vertical="center" wrapText="1" indent="2"/>
    </xf>
    <xf numFmtId="0" fontId="12" fillId="4" borderId="6" xfId="0" applyFont="1" applyFill="1" applyBorder="1" applyAlignment="1">
      <alignment horizontal="right" vertical="center" wrapText="1" indent="2"/>
    </xf>
    <xf numFmtId="166" fontId="16" fillId="0" borderId="8" xfId="6" applyNumberFormat="1" applyFont="1" applyFill="1" applyBorder="1" applyAlignment="1">
      <alignment horizontal="right" vertical="center"/>
    </xf>
    <xf numFmtId="0" fontId="16"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8" fillId="5" borderId="9" xfId="0" applyFont="1" applyFill="1" applyBorder="1" applyAlignment="1">
      <alignment horizontal="left" vertical="center" wrapText="1" indent="2"/>
    </xf>
    <xf numFmtId="164" fontId="8" fillId="4" borderId="10" xfId="6" applyNumberFormat="1" applyFont="1" applyFill="1" applyBorder="1" applyAlignment="1">
      <alignment horizontal="right" vertical="center"/>
    </xf>
    <xf numFmtId="164" fontId="8" fillId="7" borderId="10" xfId="6" applyNumberFormat="1" applyFont="1" applyFill="1" applyBorder="1" applyAlignment="1">
      <alignment horizontal="right" vertical="center"/>
    </xf>
    <xf numFmtId="164" fontId="12" fillId="6" borderId="0" xfId="6" applyNumberFormat="1" applyFont="1" applyFill="1" applyBorder="1" applyAlignment="1">
      <alignment horizontal="right" vertical="center"/>
    </xf>
    <xf numFmtId="164" fontId="8" fillId="0" borderId="10" xfId="6" applyNumberFormat="1" applyFont="1" applyFill="1" applyBorder="1" applyAlignment="1">
      <alignment horizontal="right" vertical="center"/>
    </xf>
    <xf numFmtId="164" fontId="12" fillId="8" borderId="0" xfId="6" applyNumberFormat="1" applyFont="1" applyFill="1" applyBorder="1" applyAlignment="1">
      <alignment horizontal="right" vertical="center"/>
    </xf>
    <xf numFmtId="0" fontId="15" fillId="3" borderId="9" xfId="5" applyFont="1" applyFill="1" applyBorder="1" applyAlignment="1">
      <alignment horizontal="left" vertical="center" indent="1"/>
    </xf>
    <xf numFmtId="164" fontId="8" fillId="0" borderId="8" xfId="6" applyNumberFormat="1" applyFont="1" applyFill="1" applyBorder="1" applyAlignment="1">
      <alignment horizontal="right" vertical="center"/>
    </xf>
    <xf numFmtId="164" fontId="12" fillId="0" borderId="0" xfId="6" applyNumberFormat="1" applyFont="1" applyFill="1" applyBorder="1" applyAlignment="1">
      <alignment horizontal="right" vertical="center"/>
    </xf>
    <xf numFmtId="164" fontId="12" fillId="6" borderId="7" xfId="0" applyNumberFormat="1" applyFont="1" applyFill="1" applyBorder="1" applyAlignment="1">
      <alignment horizontal="right" vertical="center" wrapText="1"/>
    </xf>
    <xf numFmtId="164" fontId="12" fillId="6" borderId="6" xfId="0" applyNumberFormat="1" applyFont="1" applyFill="1" applyBorder="1" applyAlignment="1">
      <alignment horizontal="right" vertical="center" wrapText="1"/>
    </xf>
    <xf numFmtId="166" fontId="12" fillId="0" borderId="0" xfId="6" applyNumberFormat="1" applyFont="1" applyFill="1" applyBorder="1" applyAlignment="1">
      <alignment horizontal="right" vertical="center"/>
    </xf>
    <xf numFmtId="164" fontId="12" fillId="0" borderId="2" xfId="0" applyNumberFormat="1" applyFont="1" applyFill="1" applyBorder="1" applyAlignment="1">
      <alignment horizontal="right" vertical="center" wrapText="1"/>
    </xf>
    <xf numFmtId="0" fontId="15" fillId="9" borderId="0" xfId="5" applyFont="1" applyFill="1" applyBorder="1" applyAlignment="1">
      <alignment horizontal="left" vertical="center" indent="1"/>
    </xf>
    <xf numFmtId="0" fontId="12" fillId="0" borderId="8" xfId="5" applyFont="1" applyFill="1" applyBorder="1" applyAlignment="1">
      <alignment horizontal="right" vertical="center" indent="1"/>
    </xf>
    <xf numFmtId="0" fontId="12" fillId="0" borderId="0" xfId="5" applyFont="1" applyFill="1" applyBorder="1" applyAlignment="1">
      <alignment horizontal="right" vertical="center" indent="1"/>
    </xf>
    <xf numFmtId="164" fontId="12" fillId="0" borderId="0" xfId="5" applyNumberFormat="1" applyFont="1" applyFill="1" applyBorder="1" applyAlignment="1">
      <alignment horizontal="right" vertical="center"/>
    </xf>
    <xf numFmtId="0" fontId="8" fillId="10" borderId="0" xfId="0" applyFont="1" applyFill="1" applyBorder="1" applyAlignment="1">
      <alignment horizontal="left" vertical="center" indent="2"/>
    </xf>
    <xf numFmtId="164" fontId="12" fillId="7" borderId="8" xfId="6" applyNumberFormat="1" applyFont="1" applyFill="1" applyBorder="1" applyAlignment="1">
      <alignment horizontal="right" vertical="center"/>
    </xf>
    <xf numFmtId="0" fontId="8" fillId="9" borderId="0" xfId="0" applyFont="1" applyFill="1" applyBorder="1" applyAlignment="1">
      <alignment horizontal="left" vertical="center" indent="2"/>
    </xf>
    <xf numFmtId="164" fontId="12" fillId="8" borderId="0" xfId="5" applyNumberFormat="1" applyFont="1" applyFill="1" applyBorder="1" applyAlignment="1">
      <alignment horizontal="right" vertical="center"/>
    </xf>
    <xf numFmtId="0" fontId="8" fillId="9" borderId="2" xfId="0" applyFont="1" applyFill="1" applyBorder="1" applyAlignment="1">
      <alignment horizontal="left" vertical="center" indent="2"/>
    </xf>
    <xf numFmtId="0" fontId="8" fillId="10" borderId="2" xfId="0" applyFont="1" applyFill="1" applyBorder="1" applyAlignment="1">
      <alignment horizontal="left" vertical="center" wrapText="1" indent="2"/>
    </xf>
    <xf numFmtId="0" fontId="15" fillId="11" borderId="0" xfId="5" applyFont="1" applyFill="1" applyBorder="1" applyAlignment="1">
      <alignment horizontal="left" vertical="center" indent="1"/>
    </xf>
    <xf numFmtId="166" fontId="8" fillId="0" borderId="8" xfId="6" applyNumberFormat="1" applyFont="1" applyFill="1" applyBorder="1" applyAlignment="1">
      <alignment horizontal="right" vertical="center"/>
    </xf>
    <xf numFmtId="166" fontId="8" fillId="0" borderId="0" xfId="6" applyNumberFormat="1" applyFont="1" applyFill="1" applyBorder="1" applyAlignment="1">
      <alignment horizontal="right" vertical="center"/>
    </xf>
    <xf numFmtId="0" fontId="12" fillId="12" borderId="0" xfId="0" applyFont="1" applyFill="1" applyBorder="1" applyAlignment="1">
      <alignment horizontal="right" vertical="center"/>
    </xf>
    <xf numFmtId="0" fontId="8" fillId="13" borderId="2" xfId="0" applyFont="1" applyFill="1" applyBorder="1" applyAlignment="1">
      <alignment horizontal="left" vertical="center" wrapText="1" indent="2"/>
    </xf>
    <xf numFmtId="164" fontId="12" fillId="14" borderId="6" xfId="0" applyNumberFormat="1" applyFont="1" applyFill="1" applyBorder="1" applyAlignment="1">
      <alignment horizontal="right" vertical="center" wrapText="1"/>
    </xf>
    <xf numFmtId="0" fontId="12" fillId="11" borderId="0" xfId="0" applyFont="1" applyFill="1" applyBorder="1" applyAlignment="1">
      <alignment horizontal="left" vertical="center" wrapText="1" indent="1"/>
    </xf>
    <xf numFmtId="0" fontId="8" fillId="13" borderId="0" xfId="0" applyFont="1" applyFill="1" applyBorder="1" applyAlignment="1">
      <alignment horizontal="left" vertical="center" wrapText="1" indent="1"/>
    </xf>
    <xf numFmtId="0" fontId="8" fillId="11" borderId="0" xfId="0" applyFont="1" applyFill="1" applyBorder="1" applyAlignment="1">
      <alignment horizontal="left" vertical="center" indent="2"/>
    </xf>
    <xf numFmtId="0" fontId="8" fillId="12" borderId="10" xfId="0" applyFont="1" applyFill="1" applyBorder="1" applyAlignment="1">
      <alignment horizontal="right" vertical="center"/>
    </xf>
    <xf numFmtId="0" fontId="8" fillId="13" borderId="0" xfId="0" applyFont="1" applyFill="1" applyBorder="1" applyAlignment="1">
      <alignment horizontal="left" vertical="center" indent="2"/>
    </xf>
    <xf numFmtId="164" fontId="12" fillId="12" borderId="8" xfId="6" applyNumberFormat="1" applyFont="1" applyFill="1" applyBorder="1" applyAlignment="1">
      <alignment horizontal="right" vertical="center"/>
    </xf>
    <xf numFmtId="0" fontId="17" fillId="0" borderId="0" xfId="3" applyFont="1" applyFill="1" applyBorder="1" applyAlignment="1">
      <alignment horizontal="left" vertical="center"/>
    </xf>
    <xf numFmtId="0" fontId="12" fillId="0" borderId="0" xfId="0" applyFont="1" applyFill="1" applyBorder="1" applyAlignment="1">
      <alignment vertical="center"/>
    </xf>
    <xf numFmtId="0"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9" xfId="5" applyFont="1" applyFill="1" applyBorder="1" applyAlignment="1">
      <alignment horizontal="left" vertical="center" indent="2"/>
    </xf>
    <xf numFmtId="0" fontId="14" fillId="0" borderId="3" xfId="0" applyFont="1" applyFill="1" applyBorder="1" applyAlignment="1">
      <alignment horizontal="center" vertical="center" wrapText="1"/>
    </xf>
    <xf numFmtId="2" fontId="0" fillId="0" borderId="0" xfId="0" applyNumberFormat="1" applyAlignment="1">
      <alignment horizontal="right" vertical="center" indent="1"/>
    </xf>
    <xf numFmtId="0" fontId="25" fillId="0" borderId="14" xfId="3" applyAlignment="1">
      <alignment horizontal="right" vertical="center" wrapText="1" indent="1"/>
    </xf>
    <xf numFmtId="0" fontId="25" fillId="0" borderId="14" xfId="3"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11" xfId="0" applyBorder="1" applyAlignment="1">
      <alignment horizontal="left" vertical="center" indent="1"/>
    </xf>
    <xf numFmtId="0" fontId="0" fillId="0" borderId="11" xfId="0" applyBorder="1">
      <alignment vertical="center"/>
    </xf>
    <xf numFmtId="1" fontId="0" fillId="0" borderId="11" xfId="0" applyNumberFormat="1" applyBorder="1">
      <alignment vertical="center"/>
    </xf>
    <xf numFmtId="0" fontId="18" fillId="2" borderId="0" xfId="0" applyFont="1" applyFill="1" applyBorder="1" applyAlignment="1">
      <alignment horizontal="left" vertical="center" indent="3"/>
    </xf>
    <xf numFmtId="2" fontId="0" fillId="0" borderId="0" xfId="0" applyNumberFormat="1">
      <alignment vertical="center"/>
    </xf>
    <xf numFmtId="1" fontId="0" fillId="0" borderId="0" xfId="0" applyNumberFormat="1" applyAlignment="1">
      <alignment horizontal="right" vertical="center" indent="1"/>
    </xf>
    <xf numFmtId="1" fontId="0" fillId="0" borderId="0" xfId="0" applyNumberFormat="1">
      <alignment vertical="center"/>
    </xf>
    <xf numFmtId="0" fontId="18" fillId="0" borderId="0" xfId="0" applyFont="1" applyFill="1" applyBorder="1" applyAlignment="1">
      <alignment horizontal="left" vertical="center" indent="3"/>
    </xf>
    <xf numFmtId="0" fontId="18" fillId="2" borderId="12" xfId="0" applyFont="1" applyFill="1" applyBorder="1" applyAlignment="1">
      <alignment horizontal="left" vertical="center" indent="3"/>
    </xf>
    <xf numFmtId="2" fontId="0" fillId="0" borderId="12" xfId="0" applyNumberFormat="1" applyBorder="1">
      <alignment vertical="center"/>
    </xf>
    <xf numFmtId="1" fontId="0" fillId="0" borderId="12" xfId="0" applyNumberFormat="1" applyBorder="1" applyAlignment="1">
      <alignment horizontal="right" vertical="center" indent="1"/>
    </xf>
    <xf numFmtId="1" fontId="0" fillId="0" borderId="12" xfId="0" applyNumberFormat="1" applyBorder="1">
      <alignment vertical="center"/>
    </xf>
    <xf numFmtId="0" fontId="18" fillId="0" borderId="12" xfId="0" applyFont="1" applyFill="1" applyBorder="1" applyAlignment="1">
      <alignment horizontal="left" vertical="center" indent="3"/>
    </xf>
    <xf numFmtId="2" fontId="0" fillId="0" borderId="12" xfId="0" applyNumberFormat="1" applyBorder="1" applyAlignment="1">
      <alignment horizontal="right" vertical="center" indent="1"/>
    </xf>
    <xf numFmtId="167" fontId="0" fillId="0" borderId="0" xfId="7" applyNumberFormat="1" applyFont="1" applyAlignment="1">
      <alignment vertical="center"/>
    </xf>
    <xf numFmtId="167" fontId="0" fillId="0" borderId="0" xfId="7" applyNumberFormat="1" applyFont="1" applyAlignment="1">
      <alignment horizontal="right" vertical="center" indent="1"/>
    </xf>
    <xf numFmtId="44" fontId="0" fillId="0" borderId="0" xfId="7" applyNumberFormat="1" applyFont="1" applyAlignment="1">
      <alignment horizontal="right" vertical="center" indent="1"/>
    </xf>
    <xf numFmtId="2" fontId="0" fillId="0" borderId="0" xfId="0" applyNumberFormat="1" applyBorder="1">
      <alignment vertical="center"/>
    </xf>
    <xf numFmtId="2" fontId="0" fillId="0" borderId="11" xfId="0" applyNumberFormat="1" applyBorder="1">
      <alignment vertical="center"/>
    </xf>
    <xf numFmtId="2" fontId="0" fillId="0" borderId="13" xfId="0" applyNumberFormat="1" applyBorder="1">
      <alignment vertical="center"/>
    </xf>
    <xf numFmtId="0" fontId="0" fillId="0" borderId="13" xfId="0" applyBorder="1">
      <alignment vertical="center"/>
    </xf>
    <xf numFmtId="1" fontId="0" fillId="0" borderId="13" xfId="0" applyNumberFormat="1" applyBorder="1" applyAlignment="1">
      <alignment horizontal="right" vertical="center" indent="1"/>
    </xf>
    <xf numFmtId="164" fontId="0" fillId="0" borderId="12" xfId="0" applyNumberFormat="1" applyBorder="1" applyAlignment="1">
      <alignment horizontal="right" vertical="center" indent="1"/>
    </xf>
    <xf numFmtId="0" fontId="0" fillId="0" borderId="12" xfId="0" applyBorder="1">
      <alignment vertical="center"/>
    </xf>
    <xf numFmtId="0" fontId="0" fillId="0" borderId="0" xfId="0" applyAlignment="1">
      <alignment horizontal="center" vertical="center" wrapText="1"/>
    </xf>
    <xf numFmtId="2" fontId="0" fillId="0" borderId="11" xfId="0" applyNumberFormat="1" applyBorder="1" applyAlignment="1">
      <alignment horizontal="right" vertical="center" indent="1"/>
    </xf>
    <xf numFmtId="164" fontId="0" fillId="0" borderId="11" xfId="0" applyNumberFormat="1" applyBorder="1" applyAlignment="1">
      <alignment horizontal="right" vertical="center" indent="1"/>
    </xf>
    <xf numFmtId="0" fontId="0" fillId="0" borderId="13" xfId="0" applyBorder="1" applyAlignment="1">
      <alignment horizontal="left" vertical="center" indent="1"/>
    </xf>
    <xf numFmtId="2" fontId="0" fillId="0" borderId="13" xfId="0" applyNumberFormat="1" applyBorder="1" applyAlignment="1">
      <alignment horizontal="right" vertical="center" indent="1"/>
    </xf>
    <xf numFmtId="164" fontId="0" fillId="0" borderId="13" xfId="0" applyNumberFormat="1" applyBorder="1" applyAlignment="1">
      <alignment horizontal="right" vertical="center" indent="1"/>
    </xf>
    <xf numFmtId="2" fontId="0" fillId="0" borderId="0" xfId="0" applyNumberFormat="1" applyBorder="1" applyAlignment="1">
      <alignment horizontal="right" vertical="center" indent="1"/>
    </xf>
    <xf numFmtId="164" fontId="0" fillId="0" borderId="0" xfId="0" applyNumberFormat="1" applyBorder="1" applyAlignment="1">
      <alignment horizontal="right" vertical="center" indent="1"/>
    </xf>
    <xf numFmtId="1" fontId="0" fillId="0" borderId="0" xfId="0" applyNumberFormat="1" applyBorder="1" applyAlignment="1">
      <alignment horizontal="right" vertical="center" indent="1"/>
    </xf>
    <xf numFmtId="1" fontId="0" fillId="0" borderId="11" xfId="0" applyNumberFormat="1" applyBorder="1" applyAlignment="1">
      <alignment horizontal="right" vertical="center" indent="1"/>
    </xf>
    <xf numFmtId="0" fontId="20" fillId="2" borderId="13" xfId="0" applyFont="1" applyFill="1" applyBorder="1" applyAlignment="1">
      <alignment horizontal="left" vertical="center" indent="3"/>
    </xf>
    <xf numFmtId="0" fontId="19" fillId="0" borderId="13" xfId="0" applyFont="1" applyFill="1" applyBorder="1" applyAlignment="1">
      <alignment horizontal="left" vertical="center" indent="1"/>
    </xf>
    <xf numFmtId="2" fontId="0" fillId="0" borderId="12" xfId="0" applyNumberFormat="1" applyBorder="1" applyAlignment="1">
      <alignment horizontal="center" vertical="center"/>
    </xf>
    <xf numFmtId="164" fontId="22" fillId="0" borderId="0" xfId="0" applyNumberFormat="1" applyFont="1" applyBorder="1" applyAlignment="1">
      <alignment horizontal="right" vertical="center" indent="1"/>
    </xf>
    <xf numFmtId="0" fontId="26" fillId="2" borderId="0" xfId="0" applyFont="1" applyFill="1" applyBorder="1" applyAlignment="1">
      <alignment horizontal="left" vertical="center" indent="1"/>
    </xf>
    <xf numFmtId="0" fontId="26" fillId="2" borderId="0" xfId="0" applyFont="1" applyFill="1" applyBorder="1">
      <alignment vertical="center"/>
    </xf>
    <xf numFmtId="164" fontId="26" fillId="2" borderId="0" xfId="0" applyNumberFormat="1" applyFont="1" applyFill="1" applyBorder="1" applyAlignment="1">
      <alignment horizontal="right" vertical="center" indent="1"/>
    </xf>
    <xf numFmtId="0" fontId="22" fillId="0" borderId="0" xfId="0" applyFont="1" applyBorder="1">
      <alignment vertical="center"/>
    </xf>
    <xf numFmtId="0" fontId="23" fillId="0" borderId="0" xfId="4" applyFont="1" applyBorder="1" applyAlignment="1">
      <alignment horizontal="right" vertical="center"/>
    </xf>
    <xf numFmtId="0" fontId="24" fillId="0" borderId="0" xfId="2" applyFont="1" applyBorder="1" applyAlignment="1">
      <alignment vertical="center"/>
    </xf>
    <xf numFmtId="0" fontId="25" fillId="0" borderId="0" xfId="3" applyFont="1" applyBorder="1">
      <alignment horizontal="left" vertical="center" indent="1"/>
    </xf>
    <xf numFmtId="0" fontId="25" fillId="0" borderId="0" xfId="3" applyFont="1" applyBorder="1" applyAlignment="1">
      <alignment horizontal="right" vertical="center" indent="1"/>
    </xf>
    <xf numFmtId="0" fontId="22" fillId="0" borderId="0" xfId="0" applyFont="1" applyBorder="1" applyAlignment="1">
      <alignment horizontal="left" vertical="center" indent="1"/>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5" fillId="0" borderId="0" xfId="3" applyBorder="1">
      <alignment horizontal="left" vertical="center" indent="1"/>
    </xf>
    <xf numFmtId="0" fontId="28" fillId="0" borderId="0" xfId="4" applyFont="1" applyFill="1" applyBorder="1" applyAlignment="1">
      <alignment vertical="center"/>
    </xf>
    <xf numFmtId="164" fontId="22" fillId="0" borderId="0" xfId="0" applyNumberFormat="1" applyFont="1" applyBorder="1" applyAlignment="1">
      <alignment horizontal="right" vertical="center"/>
    </xf>
    <xf numFmtId="164" fontId="22" fillId="0" borderId="0" xfId="0" applyNumberFormat="1" applyFont="1" applyFill="1" applyBorder="1">
      <alignment vertical="center"/>
    </xf>
    <xf numFmtId="0" fontId="22" fillId="0" borderId="0" xfId="0" applyFont="1" applyBorder="1" applyAlignment="1">
      <alignment horizontal="center" vertical="center"/>
    </xf>
    <xf numFmtId="49" fontId="22" fillId="0" borderId="0" xfId="0" applyNumberFormat="1" applyFont="1" applyBorder="1" applyAlignment="1">
      <alignment horizontal="right" vertical="center" indent="1"/>
    </xf>
    <xf numFmtId="164" fontId="22" fillId="0" borderId="0" xfId="0" applyNumberFormat="1" applyFont="1" applyBorder="1">
      <alignment vertical="center"/>
    </xf>
    <xf numFmtId="0" fontId="30" fillId="0" borderId="0" xfId="0" applyFont="1" applyBorder="1" applyAlignment="1">
      <alignment horizontal="right" vertical="center"/>
    </xf>
    <xf numFmtId="0" fontId="30" fillId="0" borderId="0" xfId="0" applyFont="1" applyBorder="1">
      <alignment vertical="center"/>
    </xf>
    <xf numFmtId="0" fontId="22" fillId="0" borderId="0" xfId="0" applyFont="1" applyBorder="1" applyAlignment="1">
      <alignment horizontal="right" vertical="center" indent="1"/>
    </xf>
    <xf numFmtId="164" fontId="22" fillId="0" borderId="0" xfId="0" applyNumberFormat="1" applyFont="1" applyBorder="1" applyAlignment="1">
      <alignment horizontal="center" vertical="center" wrapText="1"/>
    </xf>
    <xf numFmtId="0" fontId="25" fillId="0" borderId="14" xfId="3" applyAlignment="1">
      <alignment horizontal="left" vertical="center" wrapText="1"/>
    </xf>
    <xf numFmtId="0" fontId="22" fillId="0" borderId="0" xfId="0" applyFont="1" applyBorder="1" applyAlignment="1">
      <alignment vertical="center" wrapText="1"/>
    </xf>
    <xf numFmtId="0" fontId="34" fillId="0" borderId="0" xfId="4" applyFont="1" applyFill="1" applyBorder="1" applyAlignment="1">
      <alignment vertical="center"/>
    </xf>
    <xf numFmtId="0" fontId="33" fillId="0" borderId="0" xfId="4" applyFill="1" applyBorder="1" applyAlignment="1">
      <alignment horizontal="left" vertical="center"/>
    </xf>
    <xf numFmtId="164" fontId="22" fillId="0" borderId="0" xfId="0" applyNumberFormat="1" applyFont="1" applyBorder="1" applyAlignment="1">
      <alignment horizontal="left" vertical="center" indent="1"/>
    </xf>
    <xf numFmtId="0" fontId="35" fillId="0" borderId="0" xfId="4" applyFont="1" applyFill="1" applyBorder="1" applyAlignment="1">
      <alignment horizontal="left" vertical="center"/>
    </xf>
    <xf numFmtId="0" fontId="29" fillId="0" borderId="0" xfId="4" applyFont="1" applyFill="1" applyBorder="1" applyAlignment="1">
      <alignment horizontal="left" vertical="center"/>
    </xf>
    <xf numFmtId="15" fontId="35" fillId="0" borderId="0" xfId="4" applyNumberFormat="1" applyFont="1" applyFill="1" applyBorder="1" applyAlignment="1">
      <alignment horizontal="left" vertical="center"/>
    </xf>
    <xf numFmtId="44" fontId="26" fillId="0" borderId="0" xfId="7" applyFont="1" applyBorder="1" applyAlignment="1">
      <alignment vertical="center"/>
    </xf>
    <xf numFmtId="49" fontId="22" fillId="0" borderId="0" xfId="0" applyNumberFormat="1" applyFont="1" applyBorder="1" applyAlignment="1">
      <alignment horizontal="right" vertical="center" wrapText="1" indent="1"/>
    </xf>
    <xf numFmtId="0" fontId="15" fillId="17" borderId="0" xfId="5" applyFont="1" applyFill="1" applyBorder="1" applyAlignment="1">
      <alignment horizontal="left" vertical="center" indent="1"/>
    </xf>
    <xf numFmtId="166" fontId="16" fillId="18" borderId="8" xfId="6" applyNumberFormat="1" applyFont="1" applyFill="1" applyBorder="1" applyAlignment="1">
      <alignment horizontal="right" vertical="center"/>
    </xf>
    <xf numFmtId="0" fontId="16" fillId="18" borderId="0" xfId="0" applyFont="1" applyFill="1" applyBorder="1" applyAlignment="1">
      <alignment horizontal="right" vertical="center"/>
    </xf>
    <xf numFmtId="0" fontId="14" fillId="18" borderId="0" xfId="0" applyFont="1" applyFill="1" applyBorder="1" applyAlignment="1">
      <alignment horizontal="right" vertical="center"/>
    </xf>
    <xf numFmtId="164" fontId="12" fillId="19" borderId="0" xfId="6" applyNumberFormat="1" applyFont="1" applyFill="1" applyBorder="1" applyAlignment="1">
      <alignment horizontal="right" vertical="center"/>
    </xf>
    <xf numFmtId="164" fontId="12" fillId="20" borderId="0" xfId="6" applyNumberFormat="1" applyFont="1" applyFill="1" applyBorder="1" applyAlignment="1">
      <alignment horizontal="right" vertical="center"/>
    </xf>
    <xf numFmtId="164" fontId="12" fillId="20" borderId="7" xfId="0" applyNumberFormat="1" applyFont="1" applyFill="1" applyBorder="1" applyAlignment="1">
      <alignment horizontal="right" vertical="center" wrapText="1"/>
    </xf>
    <xf numFmtId="44" fontId="8" fillId="7" borderId="10" xfId="7" applyFont="1" applyFill="1" applyBorder="1" applyAlignment="1">
      <alignment horizontal="right" vertical="center"/>
    </xf>
    <xf numFmtId="44" fontId="12" fillId="7" borderId="8" xfId="7" applyFont="1" applyFill="1" applyBorder="1" applyAlignment="1">
      <alignment horizontal="right" vertical="center"/>
    </xf>
    <xf numFmtId="44" fontId="12" fillId="8" borderId="0" xfId="7" applyFont="1" applyFill="1" applyBorder="1" applyAlignment="1">
      <alignment horizontal="right" vertical="center"/>
    </xf>
    <xf numFmtId="44" fontId="12" fillId="6" borderId="6" xfId="7" applyFont="1" applyFill="1" applyBorder="1" applyAlignment="1">
      <alignment horizontal="right" vertical="center" wrapText="1"/>
    </xf>
    <xf numFmtId="44" fontId="8" fillId="0" borderId="0" xfId="7" applyFont="1" applyFill="1" applyBorder="1" applyAlignment="1">
      <alignment horizontal="right" vertical="center"/>
    </xf>
    <xf numFmtId="44" fontId="12" fillId="12" borderId="0" xfId="7" applyFont="1" applyFill="1" applyBorder="1" applyAlignment="1">
      <alignment horizontal="right" vertical="center"/>
    </xf>
    <xf numFmtId="44" fontId="12" fillId="14" borderId="6" xfId="7" applyFont="1" applyFill="1" applyBorder="1" applyAlignment="1">
      <alignment horizontal="right" vertical="center" wrapText="1"/>
    </xf>
    <xf numFmtId="44" fontId="8" fillId="0" borderId="0" xfId="7" applyFont="1" applyFill="1" applyBorder="1" applyAlignment="1">
      <alignment horizontal="right" vertical="center" indent="1"/>
    </xf>
    <xf numFmtId="44" fontId="8" fillId="6" borderId="7" xfId="7" applyFont="1" applyFill="1" applyBorder="1" applyAlignment="1">
      <alignment horizontal="right" vertical="center" wrapText="1"/>
    </xf>
    <xf numFmtId="0" fontId="37" fillId="0" borderId="0" xfId="0" applyFont="1" applyFill="1" applyBorder="1">
      <alignment vertical="center"/>
    </xf>
    <xf numFmtId="164" fontId="12" fillId="0" borderId="8" xfId="6" applyNumberFormat="1" applyFont="1" applyFill="1" applyBorder="1" applyAlignment="1">
      <alignment horizontal="right" vertical="center"/>
    </xf>
    <xf numFmtId="164" fontId="12" fillId="6" borderId="6" xfId="7" applyNumberFormat="1" applyFont="1" applyFill="1" applyBorder="1" applyAlignment="1">
      <alignment horizontal="right" vertical="center" wrapText="1"/>
    </xf>
    <xf numFmtId="0" fontId="47" fillId="0" borderId="0" xfId="0" applyFont="1" applyBorder="1">
      <alignment vertical="center"/>
    </xf>
    <xf numFmtId="0" fontId="33" fillId="0" borderId="0" xfId="4" applyFont="1" applyBorder="1" applyAlignment="1">
      <alignment horizontal="right" vertical="center"/>
    </xf>
    <xf numFmtId="0" fontId="34" fillId="0" borderId="0" xfId="2" applyFont="1" applyBorder="1" applyAlignment="1">
      <alignment vertical="center"/>
    </xf>
    <xf numFmtId="0" fontId="48" fillId="0" borderId="0" xfId="3" applyFont="1" applyBorder="1">
      <alignment horizontal="left" vertical="center" indent="1"/>
    </xf>
    <xf numFmtId="0" fontId="48" fillId="0" borderId="0" xfId="3" applyFont="1" applyBorder="1" applyAlignment="1">
      <alignment horizontal="right" vertical="center" indent="1"/>
    </xf>
    <xf numFmtId="0" fontId="47" fillId="0" borderId="0" xfId="0" applyFont="1" applyBorder="1" applyAlignment="1">
      <alignment horizontal="left" vertical="center" indent="1"/>
    </xf>
    <xf numFmtId="164" fontId="47" fillId="0" borderId="0" xfId="0" applyNumberFormat="1" applyFont="1" applyBorder="1" applyAlignment="1">
      <alignment horizontal="right" vertical="center" indent="1"/>
    </xf>
    <xf numFmtId="0" fontId="48" fillId="2" borderId="0" xfId="0" applyFont="1" applyFill="1" applyBorder="1" applyAlignment="1">
      <alignment horizontal="left" vertical="center" indent="1"/>
    </xf>
    <xf numFmtId="0" fontId="48" fillId="2" borderId="0" xfId="0" applyFont="1" applyFill="1" applyBorder="1">
      <alignment vertical="center"/>
    </xf>
    <xf numFmtId="164" fontId="48" fillId="2" borderId="0" xfId="0" applyNumberFormat="1" applyFont="1" applyFill="1" applyBorder="1" applyAlignment="1">
      <alignment horizontal="right" vertical="center" indent="1"/>
    </xf>
    <xf numFmtId="0" fontId="47" fillId="15" borderId="0" xfId="0" applyFont="1" applyFill="1" applyBorder="1">
      <alignment vertical="center"/>
    </xf>
    <xf numFmtId="164" fontId="47" fillId="0" borderId="0" xfId="0" applyNumberFormat="1" applyFont="1" applyFill="1" applyBorder="1" applyAlignment="1">
      <alignment horizontal="right" vertical="center" indent="1"/>
    </xf>
    <xf numFmtId="9" fontId="47" fillId="0" borderId="0" xfId="0" applyNumberFormat="1" applyFont="1" applyBorder="1">
      <alignment vertical="center"/>
    </xf>
    <xf numFmtId="0" fontId="47" fillId="0" borderId="0" xfId="0" applyFont="1" applyBorder="1" applyAlignment="1">
      <alignment horizontal="left" vertical="center"/>
    </xf>
    <xf numFmtId="0" fontId="47" fillId="0" borderId="0" xfId="0" applyFont="1" applyBorder="1" applyAlignment="1">
      <alignment horizontal="left" vertical="center" indent="2"/>
    </xf>
    <xf numFmtId="0" fontId="46" fillId="27" borderId="0" xfId="0" applyFont="1" applyFill="1" applyBorder="1">
      <alignment vertical="center"/>
    </xf>
    <xf numFmtId="0" fontId="49" fillId="27" borderId="0" xfId="2" applyFont="1" applyFill="1" applyBorder="1" applyAlignment="1">
      <alignment vertical="center"/>
    </xf>
    <xf numFmtId="0" fontId="48" fillId="0" borderId="0" xfId="3" applyFont="1" applyBorder="1" applyAlignment="1">
      <alignment horizontal="left" vertical="center"/>
    </xf>
    <xf numFmtId="0" fontId="47" fillId="0" borderId="0" xfId="0" applyFont="1" applyBorder="1" applyAlignment="1">
      <alignment horizontal="right" vertical="center"/>
    </xf>
    <xf numFmtId="9" fontId="47" fillId="0" borderId="0" xfId="8" applyFont="1" applyBorder="1" applyAlignment="1">
      <alignment vertical="center"/>
    </xf>
    <xf numFmtId="0" fontId="50" fillId="0" borderId="0" xfId="1" applyFont="1" applyBorder="1" applyAlignment="1">
      <alignment horizontal="left" vertical="center" indent="1"/>
    </xf>
    <xf numFmtId="0" fontId="50" fillId="0" borderId="0" xfId="0" applyFont="1" applyBorder="1">
      <alignment vertical="center"/>
    </xf>
    <xf numFmtId="165" fontId="51" fillId="0" borderId="0" xfId="5" applyNumberFormat="1" applyFont="1" applyFill="1" applyBorder="1" applyAlignment="1">
      <alignment horizontal="left" vertical="center"/>
    </xf>
    <xf numFmtId="0" fontId="38" fillId="0" borderId="0" xfId="0" applyFont="1" applyAlignment="1">
      <alignment vertical="top" wrapText="1"/>
    </xf>
    <xf numFmtId="0" fontId="52"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54" fillId="0" borderId="0" xfId="0" applyFont="1">
      <alignment vertical="center"/>
    </xf>
    <xf numFmtId="0" fontId="12" fillId="0" borderId="0" xfId="0" applyFont="1">
      <alignment vertical="center"/>
    </xf>
    <xf numFmtId="165" fontId="13" fillId="0" borderId="0" xfId="0" applyNumberFormat="1" applyFont="1" applyAlignment="1">
      <alignment horizontal="left" vertical="center"/>
    </xf>
    <xf numFmtId="0" fontId="8" fillId="0" borderId="2" xfId="0" applyFont="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55" fillId="0" borderId="4" xfId="0" applyFont="1" applyBorder="1" applyAlignment="1">
      <alignment horizontal="center" vertical="center"/>
    </xf>
    <xf numFmtId="164" fontId="8" fillId="29" borderId="10" xfId="0" applyNumberFormat="1" applyFont="1" applyFill="1" applyBorder="1" applyAlignment="1">
      <alignment horizontal="right" vertical="center"/>
    </xf>
    <xf numFmtId="164" fontId="8" fillId="30" borderId="10" xfId="0" applyNumberFormat="1" applyFont="1" applyFill="1" applyBorder="1" applyAlignment="1">
      <alignment horizontal="right" vertical="center"/>
    </xf>
    <xf numFmtId="164" fontId="12" fillId="31" borderId="0" xfId="0" applyNumberFormat="1" applyFont="1" applyFill="1" applyAlignment="1">
      <alignment horizontal="right" vertical="center"/>
    </xf>
    <xf numFmtId="164" fontId="8" fillId="33" borderId="10" xfId="0" applyNumberFormat="1" applyFont="1" applyFill="1" applyBorder="1" applyAlignment="1">
      <alignment horizontal="right" vertical="center"/>
    </xf>
    <xf numFmtId="164" fontId="12" fillId="33" borderId="0" xfId="0" applyNumberFormat="1" applyFont="1" applyFill="1" applyAlignment="1">
      <alignment horizontal="right" vertical="center"/>
    </xf>
    <xf numFmtId="0" fontId="8" fillId="36" borderId="0" xfId="0" applyFont="1" applyFill="1" applyAlignment="1">
      <alignment horizontal="left" vertical="center"/>
    </xf>
    <xf numFmtId="0" fontId="8" fillId="34" borderId="0" xfId="0" applyFont="1" applyFill="1" applyAlignment="1">
      <alignment horizontal="left" vertical="center"/>
    </xf>
    <xf numFmtId="164" fontId="8" fillId="35" borderId="10" xfId="0" applyNumberFormat="1" applyFont="1" applyFill="1" applyBorder="1" applyAlignment="1">
      <alignment horizontal="right" vertical="center"/>
    </xf>
    <xf numFmtId="44" fontId="8" fillId="35" borderId="0" xfId="0" applyNumberFormat="1" applyFont="1" applyFill="1" applyAlignment="1">
      <alignment horizontal="right" vertical="center"/>
    </xf>
    <xf numFmtId="44" fontId="12" fillId="35" borderId="0" xfId="0" applyNumberFormat="1" applyFont="1" applyFill="1" applyAlignment="1">
      <alignment horizontal="right" vertical="center"/>
    </xf>
    <xf numFmtId="44" fontId="12" fillId="0" borderId="8" xfId="0" applyNumberFormat="1" applyFont="1" applyBorder="1" applyAlignment="1">
      <alignment horizontal="right" vertical="center"/>
    </xf>
    <xf numFmtId="44" fontId="12" fillId="35" borderId="8" xfId="0" applyNumberFormat="1" applyFont="1" applyFill="1" applyBorder="1" applyAlignment="1">
      <alignment horizontal="right" vertical="center"/>
    </xf>
    <xf numFmtId="0" fontId="8" fillId="37" borderId="0" xfId="0" applyFont="1" applyFill="1" applyAlignment="1">
      <alignment horizontal="left" vertical="center"/>
    </xf>
    <xf numFmtId="44" fontId="12" fillId="0" borderId="0" xfId="0" applyNumberFormat="1" applyFont="1" applyAlignment="1">
      <alignment horizontal="right" vertical="center"/>
    </xf>
    <xf numFmtId="0" fontId="56" fillId="37" borderId="16" xfId="0" applyFont="1" applyFill="1" applyBorder="1" applyAlignment="1">
      <alignment horizontal="left" vertical="center"/>
    </xf>
    <xf numFmtId="164" fontId="56" fillId="38" borderId="17" xfId="0" applyNumberFormat="1" applyFont="1" applyFill="1" applyBorder="1" applyAlignment="1">
      <alignment horizontal="right" vertical="center"/>
    </xf>
    <xf numFmtId="164" fontId="8" fillId="39" borderId="10" xfId="0" applyNumberFormat="1" applyFont="1" applyFill="1" applyBorder="1" applyAlignment="1">
      <alignment horizontal="right" vertical="center"/>
    </xf>
    <xf numFmtId="44" fontId="8" fillId="39" borderId="10" xfId="0" applyNumberFormat="1" applyFont="1" applyFill="1" applyBorder="1" applyAlignment="1">
      <alignment horizontal="right" vertical="center"/>
    </xf>
    <xf numFmtId="44" fontId="12" fillId="39" borderId="8" xfId="0" applyNumberFormat="1" applyFont="1" applyFill="1" applyBorder="1" applyAlignment="1">
      <alignment horizontal="right" vertical="center"/>
    </xf>
    <xf numFmtId="44" fontId="8" fillId="39" borderId="0" xfId="0" applyNumberFormat="1" applyFont="1" applyFill="1" applyAlignment="1">
      <alignment horizontal="right" vertical="center"/>
    </xf>
    <xf numFmtId="44" fontId="12" fillId="39" borderId="0" xfId="0" applyNumberFormat="1" applyFont="1" applyFill="1" applyAlignment="1">
      <alignment horizontal="right" vertical="center"/>
    </xf>
    <xf numFmtId="0" fontId="57" fillId="0" borderId="0" xfId="0" applyFont="1" applyFill="1">
      <alignment vertical="center"/>
    </xf>
    <xf numFmtId="0" fontId="57" fillId="0" borderId="0" xfId="0" applyFont="1" applyFill="1" applyAlignment="1">
      <alignment horizontal="left" vertical="center"/>
    </xf>
    <xf numFmtId="164" fontId="57" fillId="0" borderId="10" xfId="0" applyNumberFormat="1" applyFont="1" applyFill="1" applyBorder="1" applyAlignment="1">
      <alignment horizontal="right" vertical="center"/>
    </xf>
    <xf numFmtId="44" fontId="57" fillId="0" borderId="0" xfId="0" applyNumberFormat="1" applyFont="1" applyFill="1" applyAlignment="1">
      <alignment horizontal="right" vertical="center"/>
    </xf>
    <xf numFmtId="44" fontId="58" fillId="0" borderId="0" xfId="0" applyNumberFormat="1" applyFont="1" applyFill="1" applyAlignment="1">
      <alignment horizontal="right" vertical="center"/>
    </xf>
    <xf numFmtId="0" fontId="59" fillId="0" borderId="0" xfId="0" applyFont="1" applyFill="1">
      <alignment vertical="center"/>
    </xf>
    <xf numFmtId="44" fontId="57" fillId="0" borderId="10" xfId="0" applyNumberFormat="1" applyFont="1" applyFill="1" applyBorder="1" applyAlignment="1">
      <alignment horizontal="right" vertical="center"/>
    </xf>
    <xf numFmtId="44" fontId="58" fillId="0" borderId="8" xfId="0" applyNumberFormat="1" applyFont="1" applyFill="1" applyBorder="1" applyAlignment="1">
      <alignment horizontal="right" vertical="center"/>
    </xf>
    <xf numFmtId="0" fontId="58" fillId="0" borderId="0" xfId="0" applyFont="1" applyFill="1">
      <alignment vertical="center"/>
    </xf>
    <xf numFmtId="0" fontId="8" fillId="13" borderId="0" xfId="0" applyFont="1" applyFill="1" applyBorder="1" applyAlignment="1">
      <alignment horizontal="left" vertical="center" wrapText="1" indent="2"/>
    </xf>
    <xf numFmtId="164" fontId="12" fillId="6" borderId="8" xfId="0" applyNumberFormat="1" applyFont="1" applyFill="1" applyBorder="1" applyAlignment="1">
      <alignment horizontal="right" vertical="center" wrapText="1"/>
    </xf>
    <xf numFmtId="164" fontId="12" fillId="6" borderId="0" xfId="0" applyNumberFormat="1" applyFont="1" applyFill="1" applyBorder="1" applyAlignment="1">
      <alignment horizontal="right" vertical="center" wrapText="1"/>
    </xf>
    <xf numFmtId="164" fontId="12" fillId="14" borderId="0" xfId="0" applyNumberFormat="1" applyFont="1" applyFill="1" applyBorder="1" applyAlignment="1">
      <alignment horizontal="right" vertical="center" wrapText="1"/>
    </xf>
    <xf numFmtId="0" fontId="12"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2"/>
    </xf>
    <xf numFmtId="0" fontId="8" fillId="0" borderId="10" xfId="0" applyFont="1" applyFill="1" applyBorder="1" applyAlignment="1">
      <alignment horizontal="right" vertical="center"/>
    </xf>
    <xf numFmtId="0" fontId="0" fillId="0" borderId="0" xfId="0" applyAlignment="1"/>
    <xf numFmtId="4" fontId="0" fillId="0" borderId="0" xfId="0" applyNumberFormat="1" applyAlignment="1"/>
    <xf numFmtId="41" fontId="0" fillId="0" borderId="0" xfId="0" applyNumberFormat="1" applyAlignment="1"/>
    <xf numFmtId="2" fontId="0" fillId="0" borderId="0" xfId="0" applyNumberFormat="1" applyAlignment="1"/>
    <xf numFmtId="4" fontId="61" fillId="0" borderId="0" xfId="25" applyNumberFormat="1" applyAlignment="1"/>
    <xf numFmtId="0" fontId="0" fillId="0" borderId="23" xfId="0" applyBorder="1" applyAlignment="1"/>
    <xf numFmtId="0" fontId="6" fillId="0" borderId="21" xfId="0" applyFont="1" applyFill="1" applyBorder="1">
      <alignment vertical="center"/>
    </xf>
    <xf numFmtId="0" fontId="63" fillId="0" borderId="21" xfId="0" applyFont="1" applyBorder="1" applyAlignment="1"/>
    <xf numFmtId="41" fontId="63" fillId="0" borderId="21" xfId="0" applyNumberFormat="1" applyFont="1" applyBorder="1" applyAlignment="1"/>
    <xf numFmtId="2" fontId="63" fillId="0" borderId="21" xfId="0" applyNumberFormat="1" applyFont="1" applyBorder="1" applyAlignment="1"/>
    <xf numFmtId="0" fontId="64" fillId="0" borderId="0" xfId="0" applyFont="1" applyAlignment="1"/>
    <xf numFmtId="4" fontId="64" fillId="0" borderId="0" xfId="0" applyNumberFormat="1" applyFont="1" applyAlignment="1"/>
    <xf numFmtId="0" fontId="60" fillId="0" borderId="0" xfId="0" applyFont="1" applyAlignment="1"/>
    <xf numFmtId="0" fontId="62" fillId="0" borderId="24" xfId="0" applyFont="1" applyBorder="1" applyAlignment="1"/>
    <xf numFmtId="0" fontId="0" fillId="0" borderId="24" xfId="0" applyBorder="1" applyAlignment="1"/>
    <xf numFmtId="4" fontId="0" fillId="0" borderId="24" xfId="0" applyNumberFormat="1" applyBorder="1" applyAlignment="1"/>
    <xf numFmtId="0" fontId="0" fillId="0" borderId="25" xfId="0" applyBorder="1" applyAlignment="1"/>
    <xf numFmtId="0" fontId="60" fillId="0" borderId="25" xfId="0" applyFont="1" applyBorder="1" applyAlignment="1"/>
    <xf numFmtId="0" fontId="64" fillId="0" borderId="25" xfId="0" applyFont="1" applyBorder="1" applyAlignment="1"/>
    <xf numFmtId="4" fontId="64" fillId="0" borderId="25" xfId="0" applyNumberFormat="1" applyFont="1" applyBorder="1" applyAlignment="1"/>
    <xf numFmtId="41" fontId="0" fillId="0" borderId="25" xfId="0" applyNumberFormat="1" applyBorder="1" applyAlignment="1"/>
    <xf numFmtId="0" fontId="60" fillId="0" borderId="23" xfId="0" applyFont="1" applyBorder="1" applyAlignment="1"/>
    <xf numFmtId="0" fontId="64" fillId="0" borderId="23" xfId="0" applyFont="1" applyBorder="1" applyAlignment="1"/>
    <xf numFmtId="4" fontId="64" fillId="0" borderId="23" xfId="0" applyNumberFormat="1" applyFont="1" applyBorder="1" applyAlignment="1"/>
    <xf numFmtId="41" fontId="0" fillId="0" borderId="23" xfId="0" applyNumberFormat="1" applyBorder="1" applyAlignment="1"/>
    <xf numFmtId="0" fontId="63" fillId="0" borderId="22" xfId="0" applyFont="1" applyBorder="1" applyAlignment="1"/>
    <xf numFmtId="41" fontId="0" fillId="0" borderId="19" xfId="0" applyNumberFormat="1" applyBorder="1" applyAlignment="1"/>
    <xf numFmtId="41" fontId="0" fillId="0" borderId="26" xfId="0" applyNumberFormat="1" applyBorder="1" applyAlignment="1"/>
    <xf numFmtId="41" fontId="0" fillId="0" borderId="27" xfId="0" applyNumberFormat="1" applyBorder="1" applyAlignment="1"/>
    <xf numFmtId="41" fontId="3" fillId="0" borderId="24" xfId="0" applyNumberFormat="1" applyFont="1" applyBorder="1" applyAlignment="1">
      <alignment horizontal="right"/>
    </xf>
    <xf numFmtId="41" fontId="3" fillId="0" borderId="28" xfId="0" applyNumberFormat="1" applyFont="1" applyBorder="1" applyAlignment="1">
      <alignment horizontal="right"/>
    </xf>
    <xf numFmtId="0" fontId="63" fillId="0" borderId="20" xfId="0" applyFont="1" applyBorder="1" applyAlignment="1"/>
    <xf numFmtId="41" fontId="0" fillId="0" borderId="18" xfId="0" applyNumberFormat="1" applyBorder="1" applyAlignment="1"/>
    <xf numFmtId="41" fontId="0" fillId="0" borderId="29" xfId="0" applyNumberFormat="1" applyBorder="1" applyAlignment="1"/>
    <xf numFmtId="41" fontId="0" fillId="0" borderId="30" xfId="0" applyNumberFormat="1" applyBorder="1" applyAlignment="1"/>
    <xf numFmtId="0" fontId="12" fillId="40" borderId="31" xfId="0" applyFont="1" applyFill="1" applyBorder="1" applyAlignment="1">
      <alignment horizontal="left" vertical="center" wrapText="1"/>
    </xf>
    <xf numFmtId="164" fontId="8" fillId="29" borderId="32" xfId="0" applyNumberFormat="1" applyFont="1" applyFill="1" applyBorder="1" applyAlignment="1">
      <alignment horizontal="right" vertical="center"/>
    </xf>
    <xf numFmtId="164" fontId="12" fillId="31" borderId="33" xfId="0" applyNumberFormat="1" applyFont="1" applyFill="1" applyBorder="1" applyAlignment="1">
      <alignment horizontal="right" vertical="center"/>
    </xf>
    <xf numFmtId="164" fontId="8" fillId="41" borderId="10" xfId="0" applyNumberFormat="1" applyFont="1" applyFill="1" applyBorder="1" applyAlignment="1">
      <alignment horizontal="right" vertical="center"/>
    </xf>
    <xf numFmtId="164" fontId="8" fillId="42" borderId="10" xfId="0" applyNumberFormat="1" applyFont="1" applyFill="1" applyBorder="1" applyAlignment="1">
      <alignment horizontal="right" vertical="center"/>
    </xf>
    <xf numFmtId="164" fontId="8" fillId="22" borderId="32" xfId="0" applyNumberFormat="1" applyFont="1" applyFill="1" applyBorder="1" applyAlignment="1">
      <alignment horizontal="right" vertical="center"/>
    </xf>
    <xf numFmtId="44" fontId="12" fillId="22" borderId="35" xfId="0" applyNumberFormat="1" applyFont="1" applyFill="1" applyBorder="1" applyAlignment="1">
      <alignment horizontal="right" vertical="center"/>
    </xf>
    <xf numFmtId="0" fontId="12" fillId="43" borderId="34" xfId="0" quotePrefix="1" applyFont="1" applyFill="1" applyBorder="1" applyAlignment="1">
      <alignment horizontal="left" vertical="center"/>
    </xf>
    <xf numFmtId="0" fontId="12" fillId="40" borderId="36" xfId="0" applyFont="1" applyFill="1" applyBorder="1" applyAlignment="1">
      <alignment horizontal="left" vertical="center" wrapText="1"/>
    </xf>
    <xf numFmtId="0" fontId="12" fillId="43" borderId="37" xfId="0" quotePrefix="1" applyFont="1" applyFill="1" applyBorder="1" applyAlignment="1">
      <alignment horizontal="left" vertical="center"/>
    </xf>
    <xf numFmtId="4" fontId="8" fillId="36" borderId="0" xfId="0" applyNumberFormat="1" applyFont="1" applyFill="1" applyAlignment="1">
      <alignment horizontal="left" vertical="center"/>
    </xf>
    <xf numFmtId="164" fontId="8" fillId="0" borderId="10" xfId="0" applyNumberFormat="1" applyFont="1" applyFill="1" applyBorder="1" applyAlignment="1">
      <alignment horizontal="right" vertical="center"/>
    </xf>
    <xf numFmtId="44" fontId="8" fillId="0" borderId="10" xfId="0" applyNumberFormat="1" applyFont="1" applyFill="1" applyBorder="1" applyAlignment="1">
      <alignment horizontal="right" vertical="center"/>
    </xf>
    <xf numFmtId="44" fontId="12" fillId="0" borderId="8" xfId="0" applyNumberFormat="1" applyFont="1" applyFill="1" applyBorder="1" applyAlignment="1">
      <alignment horizontal="right" vertical="center"/>
    </xf>
    <xf numFmtId="4" fontId="8" fillId="44" borderId="0" xfId="0" applyNumberFormat="1" applyFont="1" applyFill="1" applyAlignment="1">
      <alignment horizontal="left" vertical="center"/>
    </xf>
    <xf numFmtId="164" fontId="12" fillId="35" borderId="0" xfId="0" applyNumberFormat="1" applyFont="1" applyFill="1" applyBorder="1" applyAlignment="1">
      <alignment horizontal="right" vertical="center" wrapText="1"/>
    </xf>
    <xf numFmtId="0" fontId="47" fillId="0" borderId="0" xfId="0" applyFont="1" applyBorder="1" applyAlignment="1">
      <alignment horizontal="center" vertical="center"/>
    </xf>
    <xf numFmtId="0" fontId="0" fillId="0" borderId="0" xfId="0" applyAlignment="1">
      <alignment horizontal="center" vertical="center"/>
    </xf>
    <xf numFmtId="6" fontId="47" fillId="0" borderId="0" xfId="0" applyNumberFormat="1" applyFont="1" applyBorder="1">
      <alignment vertical="center"/>
    </xf>
    <xf numFmtId="164" fontId="47" fillId="0" borderId="0" xfId="0" applyNumberFormat="1" applyFont="1" applyBorder="1" applyAlignment="1">
      <alignment horizontal="right" vertical="center"/>
    </xf>
    <xf numFmtId="3" fontId="22" fillId="0" borderId="0" xfId="0" applyNumberFormat="1" applyFont="1" applyBorder="1">
      <alignment vertical="center"/>
    </xf>
    <xf numFmtId="17" fontId="22" fillId="0" borderId="0" xfId="0" applyNumberFormat="1" applyFont="1" applyBorder="1" applyAlignment="1">
      <alignment horizontal="left" vertical="center"/>
    </xf>
    <xf numFmtId="14" fontId="22" fillId="0" borderId="0" xfId="0" applyNumberFormat="1" applyFont="1" applyBorder="1" applyAlignment="1">
      <alignment horizontal="left" vertical="center"/>
    </xf>
    <xf numFmtId="41" fontId="0" fillId="0" borderId="0" xfId="0" applyNumberFormat="1" applyBorder="1" applyAlignment="1"/>
    <xf numFmtId="0" fontId="0" fillId="0" borderId="0" xfId="0" applyAlignment="1">
      <alignment horizontal="left"/>
    </xf>
    <xf numFmtId="0" fontId="2" fillId="0" borderId="0" xfId="1"/>
    <xf numFmtId="0" fontId="36" fillId="25" borderId="0" xfId="16" applyBorder="1" applyAlignment="1">
      <alignment horizontal="center" vertical="center"/>
    </xf>
    <xf numFmtId="0" fontId="36" fillId="25" borderId="0" xfId="16" applyBorder="1" applyAlignment="1">
      <alignment horizontal="center" vertical="center" wrapText="1"/>
    </xf>
    <xf numFmtId="1" fontId="42" fillId="0" borderId="0" xfId="24" applyFill="1" applyBorder="1">
      <alignment horizontal="center" vertical="center"/>
    </xf>
    <xf numFmtId="0" fontId="0" fillId="0" borderId="0" xfId="0" applyAlignment="1" applyProtection="1">
      <protection locked="0"/>
    </xf>
    <xf numFmtId="0" fontId="2" fillId="0" borderId="0" xfId="1" applyAlignment="1" applyProtection="1">
      <alignment vertical="center"/>
    </xf>
    <xf numFmtId="0" fontId="67" fillId="0" borderId="0" xfId="0" applyFont="1" applyAlignment="1">
      <alignment horizontal="center" vertical="center" wrapText="1"/>
    </xf>
    <xf numFmtId="0" fontId="68" fillId="0" borderId="15" xfId="2" applyFont="1" applyAlignment="1" applyProtection="1">
      <alignment horizontal="left" vertical="center" indent="1"/>
    </xf>
    <xf numFmtId="164" fontId="43" fillId="21" borderId="0" xfId="21">
      <alignment horizontal="left" vertical="center" indent="1"/>
      <protection locked="0"/>
    </xf>
    <xf numFmtId="0" fontId="48" fillId="16" borderId="14" xfId="3" applyFont="1" applyFill="1" applyAlignment="1" applyProtection="1">
      <alignment horizontal="center" vertical="center"/>
    </xf>
    <xf numFmtId="0" fontId="48" fillId="49" borderId="14" xfId="3" applyFont="1" applyFill="1" applyAlignment="1" applyProtection="1">
      <alignment horizontal="center" vertical="center"/>
    </xf>
    <xf numFmtId="0" fontId="48" fillId="47" borderId="14" xfId="3" applyFont="1" applyFill="1" applyAlignment="1" applyProtection="1">
      <alignment horizontal="center" vertical="center"/>
    </xf>
    <xf numFmtId="164" fontId="48" fillId="51" borderId="14" xfId="3" applyNumberFormat="1" applyFont="1" applyFill="1" applyAlignment="1">
      <alignment horizontal="center" vertical="center"/>
    </xf>
    <xf numFmtId="164" fontId="48" fillId="52" borderId="14" xfId="3" applyNumberFormat="1" applyFont="1" applyFill="1" applyAlignment="1">
      <alignment horizontal="center" vertical="center"/>
    </xf>
    <xf numFmtId="164" fontId="48" fillId="53" borderId="14" xfId="3" applyNumberFormat="1" applyFont="1" applyFill="1" applyAlignment="1">
      <alignment horizontal="center" vertical="center"/>
    </xf>
    <xf numFmtId="164" fontId="41" fillId="0" borderId="0" xfId="17" applyFill="1" applyAlignment="1"/>
    <xf numFmtId="0" fontId="60" fillId="0" borderId="0" xfId="5" applyFont="1" applyAlignment="1" applyProtection="1">
      <alignment horizontal="left" vertical="center" wrapText="1" indent="1"/>
    </xf>
    <xf numFmtId="14" fontId="41" fillId="54" borderId="14" xfId="17" applyNumberFormat="1" applyFill="1" applyBorder="1" applyAlignment="1">
      <alignment horizontal="center" vertical="center"/>
    </xf>
    <xf numFmtId="14" fontId="41" fillId="55" borderId="14" xfId="17" applyNumberFormat="1" applyFill="1" applyBorder="1" applyAlignment="1">
      <alignment horizontal="center" vertical="center"/>
    </xf>
    <xf numFmtId="14" fontId="41" fillId="56" borderId="14" xfId="17" applyNumberFormat="1" applyFill="1" applyBorder="1" applyAlignment="1">
      <alignment horizontal="center" vertical="center"/>
    </xf>
    <xf numFmtId="14" fontId="41" fillId="57" borderId="14" xfId="17" applyNumberFormat="1" applyFill="1" applyBorder="1" applyAlignment="1">
      <alignment horizontal="center" vertical="center"/>
    </xf>
    <xf numFmtId="14" fontId="41" fillId="58" borderId="14" xfId="17" applyNumberFormat="1" applyFill="1" applyBorder="1" applyAlignment="1">
      <alignment horizontal="center" vertical="center"/>
    </xf>
    <xf numFmtId="14" fontId="41" fillId="59" borderId="14" xfId="17" applyNumberFormat="1" applyFill="1" applyBorder="1" applyAlignment="1">
      <alignment horizontal="center" vertical="center"/>
    </xf>
    <xf numFmtId="168" fontId="69" fillId="60" borderId="0" xfId="0" applyNumberFormat="1" applyFont="1" applyFill="1" applyAlignment="1">
      <alignment horizontal="center"/>
    </xf>
    <xf numFmtId="168" fontId="67" fillId="61" borderId="0" xfId="0" applyNumberFormat="1" applyFont="1" applyFill="1" applyAlignment="1">
      <alignment horizontal="center"/>
    </xf>
    <xf numFmtId="168" fontId="67" fillId="62" borderId="0" xfId="0" applyNumberFormat="1" applyFont="1" applyFill="1" applyAlignment="1">
      <alignment horizontal="center"/>
    </xf>
    <xf numFmtId="168" fontId="67" fillId="51" borderId="0" xfId="0" applyNumberFormat="1" applyFont="1" applyFill="1" applyAlignment="1">
      <alignment horizontal="center"/>
    </xf>
    <xf numFmtId="168" fontId="67" fillId="52" borderId="0" xfId="0" applyNumberFormat="1" applyFont="1" applyFill="1" applyAlignment="1">
      <alignment horizontal="center"/>
    </xf>
    <xf numFmtId="168" fontId="67" fillId="53" borderId="0" xfId="0" applyNumberFormat="1" applyFont="1" applyFill="1" applyAlignment="1">
      <alignment horizontal="center"/>
    </xf>
    <xf numFmtId="2" fontId="44" fillId="46" borderId="0" xfId="22" applyNumberFormat="1" applyFill="1" applyBorder="1" applyProtection="1">
      <alignment horizontal="center" vertical="center" wrapText="1"/>
      <protection locked="0"/>
    </xf>
    <xf numFmtId="2" fontId="44" fillId="50" borderId="0" xfId="22" applyNumberFormat="1" applyFill="1" applyBorder="1" applyProtection="1">
      <alignment horizontal="center" vertical="center" wrapText="1"/>
      <protection locked="0"/>
    </xf>
    <xf numFmtId="2" fontId="44" fillId="48" borderId="0" xfId="22" applyNumberFormat="1" applyFill="1" applyBorder="1" applyProtection="1">
      <alignment horizontal="center" vertical="center" wrapText="1"/>
      <protection locked="0"/>
    </xf>
    <xf numFmtId="2" fontId="44" fillId="57" borderId="0" xfId="22" applyNumberFormat="1" applyFill="1" applyBorder="1" applyProtection="1">
      <alignment horizontal="center" vertical="center" wrapText="1"/>
      <protection locked="0"/>
    </xf>
    <xf numFmtId="2" fontId="44" fillId="58" borderId="0" xfId="22" applyNumberFormat="1" applyFill="1" applyBorder="1" applyProtection="1">
      <alignment horizontal="center" vertical="center" wrapText="1"/>
      <protection locked="0"/>
    </xf>
    <xf numFmtId="2" fontId="44" fillId="59" borderId="0" xfId="22" applyNumberFormat="1" applyFill="1" applyBorder="1" applyProtection="1">
      <alignment horizontal="center" vertical="center" wrapText="1"/>
      <protection locked="0"/>
    </xf>
    <xf numFmtId="0" fontId="44" fillId="16" borderId="0" xfId="22" applyFill="1" applyBorder="1" applyProtection="1">
      <alignment horizontal="center" vertical="center" wrapText="1"/>
      <protection locked="0"/>
    </xf>
    <xf numFmtId="0" fontId="44" fillId="49" borderId="0" xfId="22" applyFill="1" applyBorder="1" applyProtection="1">
      <alignment horizontal="center" vertical="center" wrapText="1"/>
      <protection locked="0"/>
    </xf>
    <xf numFmtId="0" fontId="44" fillId="47" borderId="0" xfId="22" applyFill="1" applyBorder="1" applyProtection="1">
      <alignment horizontal="center" vertical="center" wrapText="1"/>
      <protection locked="0"/>
    </xf>
    <xf numFmtId="0" fontId="44" fillId="51" borderId="0" xfId="22" applyFill="1" applyBorder="1" applyProtection="1">
      <alignment horizontal="center" vertical="center" wrapText="1"/>
      <protection locked="0"/>
    </xf>
    <xf numFmtId="0" fontId="44" fillId="52" borderId="0" xfId="22" applyFill="1" applyBorder="1" applyProtection="1">
      <alignment horizontal="center" vertical="center" wrapText="1"/>
      <protection locked="0"/>
    </xf>
    <xf numFmtId="0" fontId="44" fillId="53" borderId="0" xfId="22" applyFill="1" applyBorder="1" applyProtection="1">
      <alignment horizontal="center" vertical="center" wrapText="1"/>
      <protection locked="0"/>
    </xf>
    <xf numFmtId="10" fontId="44" fillId="46" borderId="0" xfId="22" applyNumberFormat="1" applyFill="1" applyBorder="1" applyProtection="1">
      <alignment horizontal="center" vertical="center" wrapText="1"/>
      <protection locked="0"/>
    </xf>
    <xf numFmtId="10" fontId="44" fillId="50" borderId="0" xfId="22" applyNumberFormat="1" applyFill="1" applyBorder="1" applyProtection="1">
      <alignment horizontal="center" vertical="center" wrapText="1"/>
      <protection locked="0"/>
    </xf>
    <xf numFmtId="10" fontId="44" fillId="48" borderId="0" xfId="22" applyNumberFormat="1" applyFill="1" applyBorder="1" applyProtection="1">
      <alignment horizontal="center" vertical="center" wrapText="1"/>
      <protection locked="0"/>
    </xf>
    <xf numFmtId="10" fontId="44" fillId="57" borderId="0" xfId="22" applyNumberFormat="1" applyFill="1" applyBorder="1" applyProtection="1">
      <alignment horizontal="center" vertical="center" wrapText="1"/>
      <protection locked="0"/>
    </xf>
    <xf numFmtId="10" fontId="44" fillId="58" borderId="0" xfId="22" applyNumberFormat="1" applyFill="1" applyBorder="1" applyProtection="1">
      <alignment horizontal="center" vertical="center" wrapText="1"/>
      <protection locked="0"/>
    </xf>
    <xf numFmtId="10" fontId="44" fillId="59" borderId="0" xfId="22" applyNumberFormat="1" applyFill="1" applyBorder="1" applyProtection="1">
      <alignment horizontal="center" vertical="center" wrapText="1"/>
      <protection locked="0"/>
    </xf>
    <xf numFmtId="164" fontId="44" fillId="16" borderId="0" xfId="22" applyNumberFormat="1" applyFill="1" applyBorder="1">
      <alignment horizontal="center" vertical="center" wrapText="1"/>
    </xf>
    <xf numFmtId="164" fontId="44" fillId="49" borderId="0" xfId="22" applyNumberFormat="1" applyFill="1" applyBorder="1">
      <alignment horizontal="center" vertical="center" wrapText="1"/>
    </xf>
    <xf numFmtId="168" fontId="44" fillId="47" borderId="0" xfId="22" applyNumberFormat="1" applyFill="1" applyBorder="1">
      <alignment horizontal="center" vertical="center" wrapText="1"/>
    </xf>
    <xf numFmtId="164" fontId="44" fillId="51" borderId="0" xfId="22" applyNumberFormat="1" applyFill="1" applyBorder="1">
      <alignment horizontal="center" vertical="center" wrapText="1"/>
    </xf>
    <xf numFmtId="164" fontId="44" fillId="52" borderId="0" xfId="22" applyNumberFormat="1" applyFill="1" applyBorder="1">
      <alignment horizontal="center" vertical="center" wrapText="1"/>
    </xf>
    <xf numFmtId="168" fontId="44" fillId="53" borderId="0" xfId="22" applyNumberFormat="1" applyFill="1" applyBorder="1">
      <alignment horizontal="center" vertical="center" wrapText="1"/>
    </xf>
    <xf numFmtId="1" fontId="44" fillId="46" borderId="0" xfId="22" applyNumberFormat="1" applyFill="1" applyBorder="1">
      <alignment horizontal="center" vertical="center" wrapText="1"/>
    </xf>
    <xf numFmtId="1" fontId="44" fillId="57" borderId="0" xfId="22" applyNumberFormat="1" applyFill="1" applyBorder="1">
      <alignment horizontal="center" vertical="center" wrapText="1"/>
    </xf>
    <xf numFmtId="1" fontId="44" fillId="58" borderId="0" xfId="22" applyNumberFormat="1" applyFill="1" applyBorder="1">
      <alignment horizontal="center" vertical="center" wrapText="1"/>
    </xf>
    <xf numFmtId="1" fontId="44" fillId="59" borderId="0" xfId="22" applyNumberFormat="1" applyFill="1" applyBorder="1">
      <alignment horizontal="center" vertical="center" wrapText="1"/>
    </xf>
    <xf numFmtId="164" fontId="44" fillId="61" borderId="0" xfId="22" applyNumberFormat="1" applyFill="1" applyBorder="1">
      <alignment horizontal="center" vertical="center" wrapText="1"/>
    </xf>
    <xf numFmtId="164" fontId="44" fillId="62" borderId="0" xfId="22" applyNumberFormat="1" applyFill="1" applyBorder="1">
      <alignment horizontal="center" vertical="center" wrapText="1"/>
    </xf>
    <xf numFmtId="164" fontId="44" fillId="53" borderId="0" xfId="22" applyNumberFormat="1" applyFill="1" applyBorder="1">
      <alignment horizontal="center" vertical="center" wrapText="1"/>
    </xf>
    <xf numFmtId="0" fontId="45" fillId="25" borderId="0" xfId="0" applyFont="1" applyFill="1" applyAlignment="1">
      <alignment wrapText="1"/>
    </xf>
    <xf numFmtId="164" fontId="70" fillId="25" borderId="0" xfId="0" applyNumberFormat="1" applyFont="1" applyFill="1" applyAlignment="1">
      <alignment wrapText="1"/>
    </xf>
    <xf numFmtId="0" fontId="70" fillId="25" borderId="0" xfId="0" applyFont="1" applyFill="1" applyAlignment="1">
      <alignment wrapText="1"/>
    </xf>
    <xf numFmtId="14" fontId="44" fillId="16" borderId="14" xfId="22" applyNumberFormat="1" applyFill="1" applyBorder="1">
      <alignment horizontal="center" vertical="center" wrapText="1"/>
    </xf>
    <xf numFmtId="14" fontId="44" fillId="49" borderId="14" xfId="22" applyNumberFormat="1" applyFill="1" applyBorder="1">
      <alignment horizontal="center" vertical="center" wrapText="1"/>
    </xf>
    <xf numFmtId="14" fontId="44" fillId="47" borderId="14" xfId="22" applyNumberFormat="1" applyFill="1" applyBorder="1">
      <alignment horizontal="center" vertical="center" wrapText="1"/>
    </xf>
    <xf numFmtId="14" fontId="44" fillId="51" borderId="14" xfId="22" applyNumberFormat="1" applyFill="1" applyBorder="1">
      <alignment horizontal="center" vertical="center" wrapText="1"/>
    </xf>
    <xf numFmtId="14" fontId="44" fillId="52" borderId="14" xfId="22" applyNumberFormat="1" applyFill="1" applyBorder="1">
      <alignment horizontal="center" vertical="center" wrapText="1"/>
    </xf>
    <xf numFmtId="14" fontId="44" fillId="53" borderId="14" xfId="22" applyNumberFormat="1" applyFill="1" applyBorder="1">
      <alignment horizontal="center" vertical="center" wrapText="1"/>
    </xf>
    <xf numFmtId="2" fontId="44" fillId="55" borderId="0" xfId="22" applyNumberFormat="1" applyFill="1" applyBorder="1" applyProtection="1">
      <alignment horizontal="center" vertical="center" wrapText="1"/>
      <protection locked="0"/>
    </xf>
    <xf numFmtId="1" fontId="44" fillId="48" borderId="0" xfId="22" applyNumberFormat="1" applyFill="1" applyBorder="1" applyProtection="1">
      <alignment horizontal="center" vertical="center" wrapText="1"/>
      <protection locked="0"/>
    </xf>
    <xf numFmtId="1" fontId="44" fillId="58" borderId="0" xfId="22" applyNumberFormat="1" applyFill="1" applyBorder="1" applyProtection="1">
      <alignment horizontal="center" vertical="center" wrapText="1"/>
      <protection locked="0"/>
    </xf>
    <xf numFmtId="10" fontId="44" fillId="55" borderId="0" xfId="22" applyNumberFormat="1" applyFill="1" applyBorder="1" applyProtection="1">
      <alignment horizontal="center" vertical="center" wrapText="1"/>
      <protection locked="0"/>
    </xf>
    <xf numFmtId="10" fontId="44" fillId="56" borderId="0" xfId="22" applyNumberFormat="1" applyFill="1" applyBorder="1" applyProtection="1">
      <alignment horizontal="center" vertical="center" wrapText="1"/>
      <protection locked="0"/>
    </xf>
    <xf numFmtId="168" fontId="44" fillId="51" borderId="0" xfId="22" applyNumberFormat="1" applyFill="1" applyBorder="1">
      <alignment horizontal="center" vertical="center" wrapText="1"/>
    </xf>
    <xf numFmtId="164" fontId="71" fillId="0" borderId="0" xfId="0" applyNumberFormat="1" applyFont="1" applyAlignment="1"/>
    <xf numFmtId="1" fontId="44" fillId="55" borderId="0" xfId="22" applyNumberFormat="1" applyFill="1" applyBorder="1">
      <alignment horizontal="center" vertical="center" wrapText="1"/>
    </xf>
    <xf numFmtId="1" fontId="44" fillId="56" borderId="0" xfId="22" applyNumberFormat="1" applyFill="1" applyBorder="1">
      <alignment horizontal="center" vertical="center" wrapText="1"/>
    </xf>
    <xf numFmtId="44" fontId="70" fillId="25" borderId="0" xfId="0" applyNumberFormat="1" applyFont="1" applyFill="1" applyAlignment="1">
      <alignment wrapText="1"/>
    </xf>
    <xf numFmtId="0" fontId="2" fillId="0" borderId="0" xfId="1" applyAlignment="1" applyProtection="1">
      <alignment horizontal="left" vertical="center"/>
    </xf>
    <xf numFmtId="0" fontId="0" fillId="0" borderId="0" xfId="0" applyAlignment="1">
      <alignment horizontal="center"/>
    </xf>
    <xf numFmtId="0" fontId="66" fillId="0" borderId="0" xfId="26" applyAlignment="1" applyProtection="1">
      <alignment wrapText="1"/>
    </xf>
    <xf numFmtId="0" fontId="40" fillId="23" borderId="0" xfId="15" applyProtection="1">
      <alignment horizontal="center" vertical="center"/>
      <protection locked="0"/>
    </xf>
    <xf numFmtId="0" fontId="68" fillId="0" borderId="0" xfId="2" applyFont="1" applyFill="1" applyBorder="1" applyAlignment="1" applyProtection="1">
      <alignment horizontal="left" vertical="top"/>
    </xf>
    <xf numFmtId="0" fontId="68" fillId="0" borderId="0" xfId="2" applyFont="1" applyFill="1" applyBorder="1" applyAlignment="1" applyProtection="1">
      <alignment horizontal="center"/>
    </xf>
    <xf numFmtId="0" fontId="0" fillId="0" borderId="0" xfId="2" applyFont="1" applyFill="1" applyBorder="1" applyAlignment="1" applyProtection="1">
      <alignment wrapText="1"/>
    </xf>
    <xf numFmtId="14" fontId="39" fillId="45" borderId="0" xfId="12" applyFill="1" applyAlignment="1" applyProtection="1">
      <alignment horizontal="right" vertical="center" indent="1"/>
      <protection locked="0"/>
    </xf>
    <xf numFmtId="0" fontId="4" fillId="0" borderId="0" xfId="5" applyAlignment="1" applyProtection="1">
      <alignment vertical="center" wrapText="1"/>
    </xf>
    <xf numFmtId="44" fontId="5" fillId="48" borderId="0" xfId="7" applyFill="1" applyBorder="1" applyAlignment="1" applyProtection="1">
      <alignment horizontal="right" vertical="center" indent="1"/>
    </xf>
    <xf numFmtId="44" fontId="5" fillId="0" borderId="0" xfId="7" applyFill="1" applyBorder="1" applyAlignment="1" applyProtection="1">
      <alignment horizontal="right" vertical="center" indent="1"/>
    </xf>
    <xf numFmtId="44" fontId="5" fillId="16" borderId="0" xfId="7" applyFill="1" applyAlignment="1" applyProtection="1">
      <alignment horizontal="right" vertical="center" indent="1"/>
      <protection locked="0"/>
    </xf>
    <xf numFmtId="1" fontId="1" fillId="47" borderId="0" xfId="29" applyNumberFormat="1" applyAlignment="1" applyProtection="1">
      <alignment horizontal="right" vertical="center" indent="1"/>
    </xf>
    <xf numFmtId="1" fontId="1" fillId="0" borderId="0" xfId="29" applyNumberFormat="1" applyFill="1" applyAlignment="1" applyProtection="1">
      <alignment horizontal="right" vertical="center" indent="1"/>
    </xf>
    <xf numFmtId="44" fontId="5" fillId="45" borderId="0" xfId="7" applyFill="1" applyAlignment="1" applyProtection="1">
      <alignment horizontal="right" vertical="center" indent="1"/>
    </xf>
    <xf numFmtId="1" fontId="1" fillId="48" borderId="0" xfId="30" applyNumberFormat="1" applyBorder="1" applyAlignment="1" applyProtection="1">
      <alignment horizontal="right" vertical="center" indent="1"/>
    </xf>
    <xf numFmtId="1" fontId="1" fillId="0" borderId="0" xfId="30" applyNumberFormat="1" applyFill="1" applyBorder="1" applyAlignment="1" applyProtection="1">
      <alignment horizontal="right" vertical="center" indent="1"/>
    </xf>
    <xf numFmtId="2" fontId="1" fillId="16" borderId="0" xfId="27" applyNumberFormat="1" applyAlignment="1" applyProtection="1">
      <alignment horizontal="right" vertical="center" indent="1"/>
    </xf>
    <xf numFmtId="44" fontId="5" fillId="47" borderId="0" xfId="7" applyFill="1" applyAlignment="1" applyProtection="1">
      <alignment horizontal="right" vertical="center" indent="1"/>
    </xf>
    <xf numFmtId="44" fontId="5" fillId="0" borderId="0" xfId="7" applyFill="1" applyAlignment="1" applyProtection="1">
      <alignment horizontal="right" vertical="center" indent="1"/>
    </xf>
    <xf numFmtId="0" fontId="1" fillId="45" borderId="0" xfId="28" applyNumberFormat="1" applyAlignment="1" applyProtection="1">
      <alignment horizontal="right" vertical="center" indent="1"/>
    </xf>
    <xf numFmtId="10" fontId="1" fillId="16" borderId="0" xfId="27" applyNumberFormat="1" applyAlignment="1" applyProtection="1">
      <alignment horizontal="right" vertical="center" indent="1"/>
    </xf>
    <xf numFmtId="164" fontId="72" fillId="0" borderId="0" xfId="17" applyFont="1" applyFill="1" applyBorder="1" applyAlignment="1">
      <alignment horizontal="right" vertical="center" indent="1"/>
    </xf>
    <xf numFmtId="0" fontId="0" fillId="24" borderId="0" xfId="0" applyFill="1" applyAlignment="1">
      <alignment horizontal="left"/>
    </xf>
    <xf numFmtId="0" fontId="73" fillId="24" borderId="0" xfId="0" applyFont="1" applyFill="1" applyAlignment="1">
      <alignment horizontal="right"/>
    </xf>
    <xf numFmtId="0" fontId="0" fillId="24" borderId="0" xfId="0" applyFill="1" applyAlignment="1"/>
    <xf numFmtId="0" fontId="36" fillId="25" borderId="42" xfId="16" applyBorder="1" applyAlignment="1">
      <alignment horizontal="left" vertical="center" wrapText="1" indent="2"/>
    </xf>
    <xf numFmtId="164" fontId="72" fillId="25" borderId="0" xfId="17" applyFont="1" applyFill="1" applyBorder="1" applyAlignment="1">
      <alignment horizontal="right" vertical="center" indent="1"/>
    </xf>
    <xf numFmtId="0" fontId="0" fillId="0" borderId="0" xfId="0" applyAlignment="1">
      <alignment wrapText="1"/>
    </xf>
    <xf numFmtId="1" fontId="0" fillId="0" borderId="0" xfId="11" applyFont="1" applyFill="1" applyAlignment="1">
      <alignment horizontal="center" vertical="center"/>
    </xf>
    <xf numFmtId="14" fontId="42" fillId="0" borderId="0" xfId="18" applyFill="1">
      <alignment horizontal="left" vertical="center"/>
    </xf>
    <xf numFmtId="44" fontId="74" fillId="24" borderId="0" xfId="19" applyFont="1" applyFill="1" applyBorder="1" applyAlignment="1">
      <alignment horizontal="right" vertical="center"/>
    </xf>
    <xf numFmtId="44" fontId="42" fillId="24" borderId="0" xfId="20" applyFill="1" applyBorder="1" applyAlignment="1">
      <alignment horizontal="right" vertical="center"/>
    </xf>
    <xf numFmtId="44" fontId="74" fillId="24" borderId="0" xfId="19" applyFont="1" applyFill="1" applyBorder="1" applyAlignment="1">
      <alignment wrapText="1"/>
    </xf>
    <xf numFmtId="14" fontId="74" fillId="24" borderId="0" xfId="19" applyNumberFormat="1" applyFont="1" applyFill="1" applyBorder="1" applyAlignment="1">
      <alignment wrapText="1"/>
    </xf>
    <xf numFmtId="44" fontId="75" fillId="24" borderId="0" xfId="7" applyFont="1" applyFill="1" applyBorder="1" applyAlignment="1" applyProtection="1">
      <alignment horizontal="right"/>
    </xf>
    <xf numFmtId="39" fontId="75" fillId="24" borderId="0" xfId="7" applyNumberFormat="1" applyFont="1" applyFill="1" applyBorder="1" applyAlignment="1" applyProtection="1">
      <alignment horizontal="right"/>
    </xf>
    <xf numFmtId="0" fontId="48" fillId="0" borderId="0" xfId="3" applyFont="1" applyBorder="1" applyAlignment="1">
      <alignment horizontal="center" vertical="center" wrapText="1"/>
    </xf>
    <xf numFmtId="164" fontId="0" fillId="0" borderId="0" xfId="0" applyNumberFormat="1" applyAlignment="1"/>
    <xf numFmtId="41" fontId="0" fillId="0" borderId="43" xfId="0" applyNumberFormat="1" applyBorder="1" applyAlignment="1"/>
    <xf numFmtId="41" fontId="3" fillId="0" borderId="44" xfId="0" applyNumberFormat="1" applyFont="1" applyBorder="1" applyAlignment="1">
      <alignment horizontal="right"/>
    </xf>
    <xf numFmtId="41" fontId="0" fillId="0" borderId="0" xfId="0" applyNumberFormat="1" applyFont="1" applyAlignment="1"/>
    <xf numFmtId="0" fontId="31" fillId="0" borderId="0" xfId="2" applyBorder="1" applyAlignment="1" applyProtection="1"/>
    <xf numFmtId="14" fontId="39" fillId="45" borderId="0" xfId="12" applyNumberFormat="1" applyFill="1" applyAlignment="1" applyProtection="1">
      <alignment horizontal="right" vertical="center" indent="1"/>
    </xf>
    <xf numFmtId="164" fontId="5" fillId="45" borderId="0" xfId="7" applyNumberFormat="1" applyFill="1" applyAlignment="1" applyProtection="1">
      <alignment horizontal="right" vertical="center" indent="1"/>
    </xf>
    <xf numFmtId="49" fontId="1" fillId="45" borderId="0" xfId="28" applyNumberFormat="1" applyAlignment="1" applyProtection="1">
      <alignment horizontal="right" vertical="center" indent="1"/>
    </xf>
    <xf numFmtId="1" fontId="76" fillId="0" borderId="0" xfId="11" applyFont="1" applyFill="1" applyAlignment="1" applyProtection="1">
      <alignment horizontal="center" vertical="center"/>
      <protection locked="0"/>
    </xf>
    <xf numFmtId="1" fontId="0" fillId="0" borderId="0" xfId="11" applyNumberFormat="1" applyFont="1" applyFill="1" applyAlignment="1">
      <alignment horizontal="center" vertical="center"/>
    </xf>
    <xf numFmtId="14" fontId="41" fillId="63" borderId="14" xfId="17" applyNumberFormat="1" applyFill="1" applyBorder="1" applyAlignment="1">
      <alignment horizontal="center" vertical="center"/>
    </xf>
    <xf numFmtId="2" fontId="44" fillId="63" borderId="0" xfId="22" applyNumberFormat="1" applyFill="1" applyBorder="1" applyProtection="1">
      <alignment horizontal="center" vertical="center" wrapText="1"/>
      <protection locked="0"/>
    </xf>
    <xf numFmtId="10" fontId="44" fillId="63" borderId="0" xfId="22" applyNumberFormat="1" applyFill="1" applyBorder="1" applyProtection="1">
      <alignment horizontal="center" vertical="center" wrapText="1"/>
      <protection locked="0"/>
    </xf>
    <xf numFmtId="1" fontId="44" fillId="63" borderId="0" xfId="22" applyNumberFormat="1" applyFill="1" applyBorder="1">
      <alignment horizontal="center" vertical="center" wrapText="1"/>
    </xf>
    <xf numFmtId="164" fontId="48" fillId="22" borderId="14" xfId="3" applyNumberFormat="1" applyFont="1" applyFill="1" applyAlignment="1">
      <alignment horizontal="center" vertical="center"/>
    </xf>
    <xf numFmtId="168" fontId="67" fillId="22" borderId="0" xfId="0" applyNumberFormat="1" applyFont="1" applyFill="1" applyAlignment="1">
      <alignment horizontal="center"/>
    </xf>
    <xf numFmtId="0" fontId="44" fillId="22" borderId="0" xfId="22" applyFill="1" applyBorder="1" applyProtection="1">
      <alignment horizontal="center" vertical="center" wrapText="1"/>
      <protection locked="0"/>
    </xf>
    <xf numFmtId="164" fontId="44" fillId="22" borderId="0" xfId="22" applyNumberFormat="1" applyFill="1" applyBorder="1">
      <alignment horizontal="center" vertical="center" wrapText="1"/>
    </xf>
    <xf numFmtId="168" fontId="44" fillId="63" borderId="0" xfId="22" applyNumberFormat="1" applyFill="1" applyBorder="1">
      <alignment horizontal="center" vertical="center" wrapText="1"/>
    </xf>
    <xf numFmtId="14" fontId="44" fillId="22" borderId="14" xfId="22" applyNumberFormat="1" applyFill="1" applyBorder="1">
      <alignment horizontal="center" vertical="center" wrapText="1"/>
    </xf>
    <xf numFmtId="164" fontId="8" fillId="65" borderId="10" xfId="0" applyNumberFormat="1" applyFont="1" applyFill="1" applyBorder="1" applyAlignment="1">
      <alignment horizontal="right" vertical="center"/>
    </xf>
    <xf numFmtId="164" fontId="8" fillId="66" borderId="10" xfId="0" applyNumberFormat="1" applyFont="1" applyFill="1" applyBorder="1" applyAlignment="1">
      <alignment horizontal="right" vertical="center"/>
    </xf>
    <xf numFmtId="164" fontId="12" fillId="67" borderId="0" xfId="0" applyNumberFormat="1" applyFont="1" applyFill="1" applyAlignment="1">
      <alignment horizontal="right" vertical="center"/>
    </xf>
    <xf numFmtId="44" fontId="12" fillId="0" borderId="0" xfId="0" applyNumberFormat="1" applyFont="1" applyFill="1" applyBorder="1" applyAlignment="1">
      <alignment horizontal="right" vertical="center"/>
    </xf>
    <xf numFmtId="41" fontId="0" fillId="0" borderId="45" xfId="0" applyNumberFormat="1" applyBorder="1" applyAlignment="1"/>
    <xf numFmtId="41" fontId="0" fillId="0" borderId="46" xfId="0" applyNumberFormat="1" applyBorder="1" applyAlignment="1"/>
    <xf numFmtId="41" fontId="0" fillId="0" borderId="45" xfId="0" applyNumberFormat="1" applyFont="1" applyBorder="1" applyAlignment="1"/>
    <xf numFmtId="0" fontId="47" fillId="0" borderId="0" xfId="0" applyFont="1" applyBorder="1" applyAlignment="1">
      <alignment horizontal="center" vertical="center"/>
    </xf>
    <xf numFmtId="0" fontId="9" fillId="0" borderId="1" xfId="2" applyFont="1" applyFill="1" applyBorder="1" applyAlignment="1">
      <alignment horizontal="left" vertical="center"/>
    </xf>
    <xf numFmtId="4" fontId="63" fillId="0" borderId="21" xfId="0" applyNumberFormat="1" applyFont="1" applyBorder="1" applyAlignment="1">
      <alignment horizontal="left"/>
    </xf>
    <xf numFmtId="0" fontId="31" fillId="0" borderId="15" xfId="2" applyFill="1" applyAlignment="1">
      <alignment horizontal="left" vertical="center"/>
    </xf>
    <xf numFmtId="0" fontId="8" fillId="40" borderId="0" xfId="0" applyFont="1" applyFill="1" applyBorder="1" applyAlignment="1">
      <alignment horizontal="left" vertical="center" wrapText="1"/>
    </xf>
    <xf numFmtId="0" fontId="8" fillId="40" borderId="9" xfId="0" applyFont="1" applyFill="1" applyBorder="1" applyAlignment="1">
      <alignment horizontal="left" vertical="center" wrapText="1"/>
    </xf>
    <xf numFmtId="0" fontId="8" fillId="32" borderId="40" xfId="0" applyFont="1" applyFill="1" applyBorder="1" applyAlignment="1">
      <alignment horizontal="left" vertical="center" wrapText="1"/>
    </xf>
    <xf numFmtId="0" fontId="8" fillId="32" borderId="41" xfId="0" applyFont="1" applyFill="1" applyBorder="1" applyAlignment="1">
      <alignment horizontal="left" vertical="center" wrapText="1"/>
    </xf>
    <xf numFmtId="0" fontId="53" fillId="0" borderId="15" xfId="0" applyFont="1" applyBorder="1" applyAlignment="1">
      <alignment horizontal="left" vertical="center"/>
    </xf>
    <xf numFmtId="0" fontId="8" fillId="28" borderId="38" xfId="0" applyFont="1" applyFill="1" applyBorder="1" applyAlignment="1">
      <alignment horizontal="left" vertical="center"/>
    </xf>
    <xf numFmtId="0" fontId="8" fillId="28" borderId="39" xfId="0" applyFont="1" applyFill="1" applyBorder="1" applyAlignment="1">
      <alignment horizontal="left" vertical="center"/>
    </xf>
    <xf numFmtId="0" fontId="8" fillId="32" borderId="0" xfId="0" applyFont="1" applyFill="1" applyBorder="1" applyAlignment="1">
      <alignment horizontal="left" vertical="center" wrapText="1"/>
    </xf>
    <xf numFmtId="0" fontId="8" fillId="32" borderId="9" xfId="0" applyFont="1" applyFill="1" applyBorder="1" applyAlignment="1">
      <alignment horizontal="left" vertical="center" wrapText="1"/>
    </xf>
    <xf numFmtId="0" fontId="8" fillId="64" borderId="0" xfId="0" applyFont="1" applyFill="1" applyBorder="1" applyAlignment="1">
      <alignment horizontal="left" vertical="center" wrapText="1"/>
    </xf>
    <xf numFmtId="0" fontId="8" fillId="64" borderId="9" xfId="0" applyFont="1" applyFill="1" applyBorder="1" applyAlignment="1">
      <alignment horizontal="left" vertical="center" wrapText="1"/>
    </xf>
    <xf numFmtId="0" fontId="28" fillId="0" borderId="0" xfId="4" applyFont="1" applyFill="1" applyBorder="1" applyAlignment="1">
      <alignment horizontal="left" vertical="center"/>
    </xf>
    <xf numFmtId="0" fontId="21" fillId="0" borderId="0" xfId="1" applyFont="1" applyBorder="1" applyAlignment="1">
      <alignment horizontal="left" vertical="center"/>
    </xf>
    <xf numFmtId="0" fontId="4" fillId="0" borderId="0" xfId="5" applyAlignment="1" applyProtection="1">
      <alignment horizontal="left" vertical="center" wrapText="1" indent="1"/>
    </xf>
    <xf numFmtId="0" fontId="4" fillId="0" borderId="0" xfId="5" applyBorder="1" applyAlignment="1" applyProtection="1">
      <alignment horizontal="left" vertical="center" wrapText="1" indent="1"/>
    </xf>
    <xf numFmtId="0" fontId="4" fillId="0" borderId="0" xfId="5" applyAlignment="1" applyProtection="1">
      <alignment horizontal="left" vertical="center" wrapText="1"/>
    </xf>
    <xf numFmtId="0" fontId="68" fillId="0" borderId="0" xfId="2" applyFont="1" applyFill="1" applyBorder="1" applyAlignment="1" applyProtection="1">
      <alignment horizontal="center" vertical="top"/>
    </xf>
    <xf numFmtId="0" fontId="0" fillId="0" borderId="0" xfId="0" applyAlignment="1"/>
    <xf numFmtId="0" fontId="0" fillId="0" borderId="0" xfId="0" applyAlignment="1">
      <alignment horizontal="center" vertical="center"/>
    </xf>
    <xf numFmtId="0" fontId="33" fillId="0" borderId="0" xfId="4" applyAlignment="1">
      <alignment horizontal="center" vertical="center"/>
    </xf>
  </cellXfs>
  <cellStyles count="31">
    <cellStyle name="20% - Accent1" xfId="27" builtinId="30"/>
    <cellStyle name="20% - Accent2" xfId="29" builtinId="34"/>
    <cellStyle name="40% - Accent1" xfId="28" builtinId="31"/>
    <cellStyle name="40% - Accent2" xfId="30" builtinId="35"/>
    <cellStyle name="Amount" xfId="9" xr:uid="{00000000-0005-0000-0000-000000000000}"/>
    <cellStyle name="Amounts" xfId="17" xr:uid="{00000000-0005-0000-0000-000001000000}"/>
    <cellStyle name="Comma" xfId="6" builtinId="3"/>
    <cellStyle name="Cost of Loan" xfId="23" xr:uid="{00000000-0005-0000-0000-000003000000}"/>
    <cellStyle name="Currency" xfId="7" builtinId="4"/>
    <cellStyle name="Date" xfId="12" xr:uid="{00000000-0005-0000-0000-000005000000}"/>
    <cellStyle name="Explanatory Text" xfId="26" builtinId="53"/>
    <cellStyle name="Frequency Lookup" xfId="24" xr:uid="{00000000-0005-0000-0000-000006000000}"/>
    <cellStyle name="Heading 1" xfId="2" builtinId="16" customBuiltin="1"/>
    <cellStyle name="Heading 2" xfId="3" builtinId="17" customBuiltin="1"/>
    <cellStyle name="Heading 3" xfId="5" builtinId="18" customBuiltin="1"/>
    <cellStyle name="Heading 4" xfId="4" builtinId="19" customBuiltin="1"/>
    <cellStyle name="Heading 4 Right aligned" xfId="13" xr:uid="{00000000-0005-0000-0000-00000B000000}"/>
    <cellStyle name="Heading Fill" xfId="16" xr:uid="{00000000-0005-0000-0000-00000C000000}"/>
    <cellStyle name="Hyperlink" xfId="25" builtinId="8"/>
    <cellStyle name="Loan Summary" xfId="10" xr:uid="{00000000-0005-0000-0000-00000E000000}"/>
    <cellStyle name="Loan_Amount" xfId="21" xr:uid="{00000000-0005-0000-0000-00000F000000}"/>
    <cellStyle name="Normal" xfId="0" builtinId="0" customBuiltin="1"/>
    <cellStyle name="Number" xfId="11" xr:uid="{00000000-0005-0000-0000-000011000000}"/>
    <cellStyle name="Payment comparison table details" xfId="22" xr:uid="{00000000-0005-0000-0000-000012000000}"/>
    <cellStyle name="Payment Schedule currency" xfId="19" xr:uid="{00000000-0005-0000-0000-000013000000}"/>
    <cellStyle name="Payment Schedule date" xfId="18" xr:uid="{00000000-0005-0000-0000-000014000000}"/>
    <cellStyle name="Percent" xfId="8" builtinId="5"/>
    <cellStyle name="Scenario drop down list" xfId="15" xr:uid="{00000000-0005-0000-0000-000016000000}"/>
    <cellStyle name="Scheduled PMT" xfId="20" xr:uid="{00000000-0005-0000-0000-000017000000}"/>
    <cellStyle name="Table Amount" xfId="14" xr:uid="{00000000-0005-0000-0000-000018000000}"/>
    <cellStyle name="Title" xfId="1" builtinId="15" customBuiltin="1"/>
  </cellStyles>
  <dxfs count="395">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b val="0"/>
        <i val="0"/>
        <strike val="0"/>
        <condense val="0"/>
        <extend val="0"/>
        <outline val="0"/>
        <shadow val="0"/>
        <u val="none"/>
        <vertAlign val="baseline"/>
        <sz val="12"/>
        <color rgb="FF004A87"/>
        <name val="Calibri"/>
        <family val="2"/>
        <scheme val="minor"/>
      </font>
      <alignment horizontal="left" vertical="center" textRotation="0" wrapText="0" indent="0" justifyLastLine="0" shrinkToFit="0" readingOrder="0"/>
      <border diagonalUp="0" diagonalDown="0" outline="0">
        <left/>
        <right/>
        <top/>
        <bottom/>
      </border>
    </dxf>
    <dxf>
      <numFmt numFmtId="2" formatCode="0.00"/>
      <border diagonalUp="0" diagonalDown="0">
        <left/>
        <right/>
        <top/>
        <bottom style="thin">
          <color indexed="64"/>
        </bottom>
        <vertical/>
        <horizontal/>
      </border>
    </dxf>
    <dxf>
      <numFmt numFmtId="2" formatCode="0.0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border outline="0">
        <top style="thin">
          <color indexed="64"/>
        </top>
      </border>
    </dxf>
    <dxf>
      <border outline="0">
        <bottom style="thin">
          <color indexed="64"/>
        </bottom>
      </border>
    </dxf>
    <dxf>
      <numFmt numFmtId="2" formatCode="0.00"/>
    </dxf>
    <dxf>
      <numFmt numFmtId="1" formatCode="0"/>
    </dxf>
    <dxf>
      <numFmt numFmtId="1" formatCode="0"/>
    </dxf>
    <dxf>
      <numFmt numFmtId="1" formatCode="0"/>
      <alignment horizontal="right" vertical="center" textRotation="0" wrapText="0" indent="1" justifyLastLine="0" shrinkToFit="0" readingOrder="0"/>
    </dxf>
    <dxf>
      <numFmt numFmtId="1" formatCode="0"/>
      <alignment horizontal="right" vertical="center" textRotation="0" wrapText="0" indent="1" justifyLastLine="0" shrinkToFit="0" readingOrder="0"/>
    </dxf>
    <dxf>
      <numFmt numFmtId="2" formatCode="0.00"/>
    </dxf>
    <dxf>
      <font>
        <b val="0"/>
        <i val="0"/>
        <strike val="0"/>
        <condense val="0"/>
        <extend val="0"/>
        <outline val="0"/>
        <shadow val="0"/>
        <u val="none"/>
        <vertAlign val="baseline"/>
        <sz val="10"/>
        <color theme="1" tint="0.34998626667073579"/>
        <name val="Calibri"/>
        <scheme val="minor"/>
      </font>
      <fill>
        <patternFill patternType="solid">
          <fgColor indexed="64"/>
          <bgColor theme="0" tint="-4.9989318521683403E-2"/>
        </patternFill>
      </fill>
      <alignment horizontal="left" vertical="center" textRotation="0" wrapText="0" indent="3" justifyLastLine="0" shrinkToFit="0" readingOrder="0"/>
    </dxf>
    <dxf>
      <border outline="0">
        <bottom style="thin">
          <color indexed="64"/>
        </bottom>
      </border>
    </dxf>
    <dxf>
      <alignment horizontal="center" vertical="center" textRotation="0" wrapText="0" indent="0"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1" indent="0" justifyLastLine="0" shrinkToFit="0" readingOrder="0"/>
    </dxf>
    <dxf>
      <numFmt numFmtId="2" formatCode="0.00"/>
      <alignment horizontal="right" vertical="center" textRotation="0" wrapText="0" indent="1"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fill>
        <patternFill patternType="solid">
          <fgColor indexed="64"/>
          <bgColor theme="5"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fill>
        <patternFill patternType="solid">
          <fgColor indexed="64"/>
          <bgColor theme="5"/>
        </patternFill>
      </fill>
      <alignment horizontal="center" vertical="center" textRotation="0" wrapText="1" indent="0" justifyLastLine="0" shrinkToFit="0" readingOrder="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alignment horizontal="center" vertical="center" textRotation="0" wrapText="1" indent="0" justifyLastLine="0" shrinkToFit="0" readingOrder="0"/>
    </dxf>
    <dxf>
      <font>
        <b/>
        <i val="0"/>
        <strike val="0"/>
        <condense val="0"/>
        <extend val="0"/>
        <outline val="0"/>
        <shadow val="0"/>
        <u val="none"/>
        <vertAlign val="baseline"/>
        <sz val="16"/>
        <color theme="0"/>
        <name val="Calibri"/>
        <family val="2"/>
        <scheme val="minor"/>
      </font>
      <fill>
        <patternFill patternType="solid">
          <fgColor indexed="64"/>
          <bgColor theme="3"/>
        </patternFill>
      </fill>
      <alignment horizontal="general" vertical="bottom" textRotation="0" wrapText="1" indent="0" justifyLastLine="0" shrinkToFit="0" readingOrder="0"/>
    </dxf>
    <dxf>
      <protection locked="1" hidden="0"/>
    </dxf>
    <dxf>
      <font>
        <b/>
        <i val="0"/>
        <strike val="0"/>
        <condense val="0"/>
        <extend val="0"/>
        <outline val="0"/>
        <shadow val="0"/>
        <u val="none"/>
        <vertAlign val="baseline"/>
        <sz val="20"/>
        <color theme="3"/>
        <name val="Calibri Light"/>
        <scheme val="major"/>
      </font>
      <numFmt numFmtId="164" formatCode="&quot;$&quot;#,##0.00"/>
      <fill>
        <patternFill patternType="solid">
          <fgColor indexed="64"/>
          <bgColor theme="0" tint="-0.14999847407452621"/>
        </patternFill>
      </fill>
      <alignment horizontal="left" vertical="center" textRotation="0" wrapText="0" indent="1" justifyLastLine="0" shrinkToFit="0" readingOrder="0"/>
      <protection locked="0" hidden="0"/>
    </dxf>
    <dxf>
      <protection locked="1" hidden="0"/>
    </dxf>
    <dxf>
      <protection locked="1" hidden="0"/>
    </dxf>
    <dxf>
      <protection locked="1" hidden="0"/>
    </dxf>
    <dxf>
      <font>
        <b val="0"/>
        <i val="0"/>
        <strike val="0"/>
        <condense val="0"/>
        <extend val="0"/>
        <outline val="0"/>
        <shadow val="0"/>
        <u val="none"/>
        <vertAlign val="baseline"/>
        <sz val="16"/>
        <color theme="0"/>
        <name val="Calibri"/>
        <family val="2"/>
        <scheme val="minor"/>
      </font>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fill>
        <patternFill patternType="solid">
          <fgColor indexed="64"/>
          <bgColor theme="3"/>
        </patternFill>
      </fill>
      <alignment horizontal="general" vertical="bottom" textRotation="0" wrapText="1" indent="0" justifyLastLine="0" shrinkToFit="0" readingOrder="0"/>
    </dxf>
    <dxf>
      <fill>
        <patternFill patternType="solid">
          <fgColor indexed="64"/>
          <bgColor theme="2" tint="-9.9978637043366805E-2"/>
        </patternFill>
      </fill>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protection locked="1" hidden="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fill>
        <patternFill patternType="solid">
          <fgColor indexed="64"/>
          <bgColor theme="5"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fill>
        <patternFill patternType="solid">
          <fgColor indexed="64"/>
          <bgColor theme="5"/>
        </patternFill>
      </fill>
      <alignment horizontal="center" vertical="center" textRotation="0" wrapText="1" indent="0" justifyLastLine="0" shrinkToFit="0" readingOrder="0"/>
    </dxf>
    <dxf>
      <font>
        <b val="0"/>
        <i val="0"/>
        <strike val="0"/>
        <condense val="0"/>
        <extend val="0"/>
        <outline val="0"/>
        <shadow val="0"/>
        <u val="none"/>
        <vertAlign val="baseline"/>
        <sz val="16"/>
        <color theme="0"/>
        <name val="Calibri"/>
        <family val="2"/>
        <scheme val="minor"/>
      </font>
      <numFmt numFmtId="164" formatCode="&quot;$&quot;#,##0.00"/>
      <fill>
        <patternFill patternType="solid">
          <fgColor indexed="64"/>
          <bgColor theme="3"/>
        </patternFill>
      </fill>
      <alignment horizontal="general" vertical="bottom" textRotation="0" wrapText="1" indent="0" justifyLastLine="0" shrinkToFit="0" readingOrder="0"/>
    </dxf>
    <dxf>
      <numFmt numFmtId="164" formatCode="&quot;$&quot;#,##0.00"/>
      <alignment horizontal="center" vertical="center" textRotation="0" wrapText="1" indent="0" justifyLastLine="0" shrinkToFit="0" readingOrder="0"/>
    </dxf>
    <dxf>
      <font>
        <b/>
        <i val="0"/>
        <strike val="0"/>
        <condense val="0"/>
        <extend val="0"/>
        <outline val="0"/>
        <shadow val="0"/>
        <u val="none"/>
        <vertAlign val="baseline"/>
        <sz val="16"/>
        <color theme="0"/>
        <name val="Calibri"/>
        <family val="2"/>
        <scheme val="minor"/>
      </font>
      <fill>
        <patternFill patternType="solid">
          <fgColor indexed="64"/>
          <bgColor theme="3"/>
        </patternFill>
      </fill>
      <alignment horizontal="general" vertical="bottom" textRotation="0" wrapText="1" indent="0" justifyLastLine="0" shrinkToFit="0" readingOrder="0"/>
    </dxf>
    <dxf>
      <protection locked="1" hidden="0"/>
    </dxf>
    <dxf>
      <font>
        <b/>
        <i val="0"/>
        <strike val="0"/>
        <condense val="0"/>
        <extend val="0"/>
        <outline val="0"/>
        <shadow val="0"/>
        <u val="none"/>
        <vertAlign val="baseline"/>
        <sz val="20"/>
        <color theme="3"/>
        <name val="Calibri Light"/>
        <scheme val="major"/>
      </font>
      <numFmt numFmtId="164" formatCode="&quot;$&quot;#,##0.00"/>
      <fill>
        <patternFill patternType="solid">
          <fgColor indexed="64"/>
          <bgColor theme="0" tint="-0.14999847407452621"/>
        </patternFill>
      </fill>
      <alignment horizontal="left" vertical="center" textRotation="0" wrapText="0" indent="1" justifyLastLine="0" shrinkToFit="0" readingOrder="0"/>
      <protection locked="0" hidden="0"/>
    </dxf>
    <dxf>
      <protection locked="1" hidden="0"/>
    </dxf>
    <dxf>
      <protection locked="1" hidden="0"/>
    </dxf>
    <dxf>
      <protection locked="1" hidden="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dxf>
    <dxf>
      <alignment vertical="center" textRotation="0" wrapText="1" indent="0" justifyLastLine="0" shrinkToFit="0" readingOrder="0"/>
    </dxf>
    <dxf>
      <font>
        <b val="0"/>
        <i val="0"/>
        <strike val="0"/>
        <condense val="0"/>
        <extend val="0"/>
        <outline val="0"/>
        <shadow val="0"/>
        <u val="none"/>
        <vertAlign val="baseline"/>
        <sz val="10"/>
        <color rgb="FF004A87"/>
        <name val="Calibri"/>
        <family val="2"/>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border diagonalUp="0" diagonalDown="0" outline="0">
        <left/>
        <right/>
        <top/>
        <bottom/>
      </border>
    </dxf>
    <dxf>
      <font>
        <strike val="0"/>
        <outline val="0"/>
        <shadow val="0"/>
        <u val="none"/>
        <vertAlign val="baseline"/>
        <color rgb="FF004A87"/>
      </font>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sz val="12"/>
        <color rgb="FF004A87"/>
      </font>
      <fill>
        <patternFill patternType="solid">
          <fgColor indexed="64"/>
          <bgColor theme="0" tint="-4.9989318521683403E-2"/>
        </patternFill>
      </fill>
    </dxf>
    <dxf>
      <numFmt numFmtId="164" formatCode="&quot;$&quot;#,##0.00"/>
    </dxf>
    <dxf>
      <font>
        <b/>
        <strike val="0"/>
        <outline val="0"/>
        <shadow val="0"/>
        <u val="none"/>
        <vertAlign val="baseline"/>
        <sz val="12"/>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sz val="12"/>
        <color rgb="FF004A87"/>
      </font>
      <fill>
        <patternFill patternType="solid">
          <fgColor indexed="64"/>
          <bgColor theme="0" tint="-4.9989318521683403E-2"/>
        </patternFill>
      </fill>
    </dxf>
    <dxf>
      <numFmt numFmtId="164" formatCode="&quot;$&quot;#,##0.00"/>
    </dxf>
    <dxf>
      <font>
        <b/>
        <strike val="0"/>
        <outline val="0"/>
        <shadow val="0"/>
        <u val="none"/>
        <vertAlign val="baseline"/>
        <sz val="12"/>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0"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0"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24994659260841701"/>
      </font>
      <fill>
        <patternFill patternType="none">
          <fgColor indexed="64"/>
          <bgColor auto="1"/>
        </patternFill>
      </fill>
      <border diagonalUp="0" diagonalDown="0">
        <left/>
        <right/>
        <top style="medium">
          <color theme="4" tint="0.59996337778862885"/>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color theme="1"/>
      </font>
    </dxf>
    <dxf>
      <font>
        <b/>
        <color theme="1"/>
      </font>
    </dxf>
    <dxf>
      <font>
        <b/>
        <color theme="1"/>
      </font>
      <border>
        <top style="double">
          <color theme="3"/>
        </top>
      </border>
    </dxf>
    <dxf>
      <font>
        <b/>
        <color theme="0"/>
      </font>
      <fill>
        <patternFill patternType="solid">
          <fgColor theme="7"/>
          <bgColor theme="3"/>
        </patternFill>
      </fill>
      <border diagonalUp="0" diagonalDown="0">
        <left/>
        <right/>
        <top/>
        <bottom/>
        <vertical/>
        <horizontal/>
      </border>
    </dxf>
    <dxf>
      <font>
        <color theme="3"/>
      </font>
    </dxf>
  </dxfs>
  <tableStyles count="7" defaultTableStyle="Startup Expenses" defaultPivotStyle="PivotStyleLight16">
    <tableStyle name="Loan Calculator Data" pivot="0" count="6" xr9:uid="{00000000-0011-0000-FFFF-FFFF00000000}">
      <tableStyleElement type="wholeTable" dxfId="394"/>
      <tableStyleElement type="headerRow" dxfId="393"/>
      <tableStyleElement type="totalRow" dxfId="392"/>
      <tableStyleElement type="firstColumn" dxfId="391"/>
      <tableStyleElement type="lastColumn" dxfId="390"/>
      <tableStyleElement type="secondRowStripe" dxfId="389"/>
    </tableStyle>
    <tableStyle name="Loan Calculator Data 2" pivot="0" count="4" xr9:uid="{00000000-0011-0000-FFFF-FFFF01000000}">
      <tableStyleElement type="wholeTable" dxfId="388"/>
      <tableStyleElement type="headerRow" dxfId="387"/>
      <tableStyleElement type="totalRow" dxfId="386"/>
      <tableStyleElement type="secondRowStripe" dxfId="385"/>
    </tableStyle>
    <tableStyle name="Loan Calculator Data 3" pivot="0" count="4" xr9:uid="{00000000-0011-0000-FFFF-FFFF02000000}">
      <tableStyleElement type="wholeTable" dxfId="384"/>
      <tableStyleElement type="headerRow" dxfId="383"/>
      <tableStyleElement type="totalRow" dxfId="382"/>
      <tableStyleElement type="secondRowStripe" dxfId="381"/>
    </tableStyle>
    <tableStyle name="Loan Calculator Data 4" pivot="0" count="4" xr9:uid="{B5E334FE-13FE-BD4F-872D-5F5CFA291D13}">
      <tableStyleElement type="wholeTable" dxfId="380"/>
      <tableStyleElement type="headerRow" dxfId="379"/>
      <tableStyleElement type="totalRow" dxfId="378"/>
      <tableStyleElement type="secondRowStripe" dxfId="377"/>
    </tableStyle>
    <tableStyle name="Payment tables" pivot="0" count="6" xr9:uid="{00000000-0011-0000-FFFF-FFFF03000000}">
      <tableStyleElement type="wholeTable" dxfId="376"/>
      <tableStyleElement type="headerRow" dxfId="375"/>
      <tableStyleElement type="totalRow" dxfId="374"/>
      <tableStyleElement type="firstColumn" dxfId="373"/>
      <tableStyleElement type="lastColumn" dxfId="372"/>
      <tableStyleElement type="secondColumnStripe" dxfId="371"/>
    </tableStyle>
    <tableStyle name="Payment tables 2" pivot="0" count="6" xr9:uid="{166BA073-F84F-D244-884C-2904C9DB3B9E}">
      <tableStyleElement type="wholeTable" dxfId="370"/>
      <tableStyleElement type="headerRow" dxfId="369"/>
      <tableStyleElement type="totalRow" dxfId="368"/>
      <tableStyleElement type="firstColumn" dxfId="367"/>
      <tableStyleElement type="lastColumn" dxfId="366"/>
      <tableStyleElement type="secondColumnStripe" dxfId="365"/>
    </tableStyle>
    <tableStyle name="Startup Expenses" pivot="0" count="6" xr9:uid="{00000000-0011-0000-FFFF-FFFF04000000}">
      <tableStyleElement type="wholeTable" dxfId="364"/>
      <tableStyleElement type="headerRow" dxfId="363"/>
      <tableStyleElement type="totalRow" dxfId="362"/>
      <tableStyleElement type="lastColumn" dxfId="361"/>
      <tableStyleElement type="secondRowStripe" dxfId="360"/>
      <tableStyleElement type="lastTotalCell" dxfId="359"/>
    </tableStyle>
  </tableStyles>
  <colors>
    <mruColors>
      <color rgb="FFD0DEE0"/>
      <color rgb="FFE6E0FF"/>
      <color rgb="FFCFBCFF"/>
      <color rgb="FFF9EFDA"/>
      <color rgb="FFF3DFB1"/>
      <color rgb="FFE7E6E6"/>
      <color rgb="FFD2DDDF"/>
      <color rgb="FF004A87"/>
      <color rgb="FFE7EEF1"/>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38098</xdr:rowOff>
    </xdr:from>
    <xdr:to>
      <xdr:col>8</xdr:col>
      <xdr:colOff>20320</xdr:colOff>
      <xdr:row>8</xdr:row>
      <xdr:rowOff>243839</xdr:rowOff>
    </xdr:to>
    <xdr:sp macro="" textlink="">
      <xdr:nvSpPr>
        <xdr:cNvPr id="3" name="Note 1" descr="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10;&#10;BEGIN BY ESTIMATING EXPENSES&#10;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
          <a:extLst>
            <a:ext uri="{FF2B5EF4-FFF2-40B4-BE49-F238E27FC236}">
              <a16:creationId xmlns:a16="http://schemas.microsoft.com/office/drawing/2014/main" id="{00000000-0008-0000-0000-000003000000}"/>
            </a:ext>
          </a:extLst>
        </xdr:cNvPr>
        <xdr:cNvSpPr/>
      </xdr:nvSpPr>
      <xdr:spPr>
        <a:xfrm>
          <a:off x="172084" y="556258"/>
          <a:ext cx="6523356" cy="2054861"/>
        </a:xfrm>
        <a:prstGeom prst="rect">
          <a:avLst/>
        </a:prstGeom>
        <a:solidFill>
          <a:schemeClr val="bg1"/>
        </a:solid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marL="0" indent="0" rtl="0">
            <a:spcAft>
              <a:spcPts val="300"/>
            </a:spcAft>
          </a:pPr>
          <a:r>
            <a:rPr lang="en-US" sz="1000" b="0" i="0" spc="40" baseline="0">
              <a:solidFill>
                <a:srgbClr val="004A87"/>
              </a:solidFill>
              <a:effectLst/>
              <a:latin typeface="+mj-lt"/>
              <a:ea typeface="+mn-ea"/>
              <a:cs typeface="+mn-cs"/>
            </a:rPr>
            <a:t>A NOTE BEFORE USING THIS WORKSHEET</a:t>
          </a:r>
        </a:p>
        <a:p>
          <a:pPr rtl="0">
            <a:lnSpc>
              <a:spcPct val="120000"/>
            </a:lnSpc>
          </a:pPr>
          <a:r>
            <a:rPr lang="en-US" sz="900" b="0" i="0" spc="30" baseline="0">
              <a:solidFill>
                <a:srgbClr val="004A87"/>
              </a:solidFill>
              <a:effectLst/>
              <a:latin typeface="+mn-lt"/>
              <a:ea typeface="+mn-ea"/>
              <a:cs typeface="+mn-cs"/>
            </a:rPr>
            <a:t>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a:t>
          </a:r>
          <a:r>
            <a:rPr lang="en-US" sz="900" b="0" i="0" spc="40" baseline="0">
              <a:solidFill>
                <a:srgbClr val="004A87"/>
              </a:solidFill>
              <a:effectLst/>
              <a:latin typeface="+mn-lt"/>
              <a:ea typeface="+mn-ea"/>
              <a:cs typeface="+mn-cs"/>
            </a:rPr>
            <a:t>.</a:t>
          </a:r>
          <a:endParaRPr lang="en-US" sz="900" spc="40">
            <a:solidFill>
              <a:srgbClr val="004A87"/>
            </a:solidFill>
            <a:effectLst/>
            <a:latin typeface="+mn-lt"/>
          </a:endParaRPr>
        </a:p>
        <a:p>
          <a:pPr rtl="0"/>
          <a:endParaRPr lang="en-US" sz="1050" b="0" i="0" spc="20" baseline="0">
            <a:solidFill>
              <a:srgbClr val="004A87"/>
            </a:solidFill>
            <a:effectLst/>
            <a:latin typeface="+mn-lt"/>
            <a:ea typeface="+mn-ea"/>
            <a:cs typeface="+mn-cs"/>
          </a:endParaRPr>
        </a:p>
        <a:p>
          <a:pPr marL="0" indent="0" rtl="0">
            <a:spcAft>
              <a:spcPts val="300"/>
            </a:spcAft>
          </a:pPr>
          <a:r>
            <a:rPr lang="en-US" sz="1000" b="0" i="0" spc="40" baseline="0">
              <a:solidFill>
                <a:srgbClr val="004A87"/>
              </a:solidFill>
              <a:effectLst/>
              <a:latin typeface="+mj-lt"/>
              <a:ea typeface="+mn-ea"/>
              <a:cs typeface="+mn-cs"/>
            </a:rPr>
            <a:t>BEGIN BY ESTIMATING EXPENSES</a:t>
          </a:r>
        </a:p>
        <a:p>
          <a:pPr marL="0" indent="0" rtl="0">
            <a:lnSpc>
              <a:spcPct val="120000"/>
            </a:lnSpc>
          </a:pPr>
          <a:r>
            <a:rPr lang="en-US" sz="900" b="0" i="0" spc="30" baseline="0">
              <a:solidFill>
                <a:srgbClr val="004A87"/>
              </a:solidFill>
              <a:effectLst/>
              <a:latin typeface="+mn-lt"/>
              <a:ea typeface="+mn-ea"/>
              <a:cs typeface="+mn-cs"/>
            </a:rPr>
            <a:t>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an%20amortization%20schedule(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schedule(3)1"/>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OwnersInvestments" displayName="tblOwnersInvestments" ref="B82:H87" totalsRowCount="1" headerRowDxfId="358" dataDxfId="357" totalsRowDxfId="356">
  <tableColumns count="7">
    <tableColumn id="1" xr3:uid="{00000000-0010-0000-0000-000001000000}" name="OWNERS' INVESTMENT (NAME &amp; OWNERSHIP %)" totalsRowLabel="Total" dataDxfId="355" totalsRowDxfId="354"/>
    <tableColumn id="3" xr3:uid="{00000000-0010-0000-0000-000003000000}" name=" " dataDxfId="353" totalsRowDxfId="352"/>
    <tableColumn id="2" xr3:uid="{00000000-0010-0000-0000-000002000000}" name="Option 1" totalsRowFunction="sum" dataDxfId="351" totalsRowDxfId="350"/>
    <tableColumn id="4" xr3:uid="{00000000-0010-0000-0000-000004000000}" name="Option 2" dataDxfId="349" totalsRowDxfId="348"/>
    <tableColumn id="5" xr3:uid="{00000000-0010-0000-0000-000005000000}" name="Option 3" dataDxfId="347" totalsRowDxfId="346"/>
    <tableColumn id="6" xr3:uid="{00000000-0010-0000-0000-000006000000}" name="Option 4" dataDxfId="345" totalsRowDxfId="344"/>
    <tableColumn id="7" xr3:uid="{00000000-0010-0000-0000-000007000000}" name="Option 5" dataDxfId="343" totalsRowDxfId="342"/>
  </tableColumns>
  <tableStyleInfo name="Startup Expenses" showFirstColumn="0" showLastColumn="1" showRowStripes="1" showColumnStripes="0"/>
  <extLst>
    <ext xmlns:x14="http://schemas.microsoft.com/office/spreadsheetml/2009/9/main" uri="{504A1905-F514-4f6f-8877-14C23A59335A}">
      <x14:table altText="Table" altTextSummary="Owners' investments table with amou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blWorkingCapital" displayName="tblWorkingCapital" ref="B70:H70" headerRowCount="0" totalsRowShown="0" headerRowDxfId="207" dataDxfId="206">
  <tableColumns count="7">
    <tableColumn id="1" xr3:uid="{00000000-0010-0000-0900-000001000000}" name="Column1" dataDxfId="205"/>
    <tableColumn id="2" xr3:uid="{00000000-0010-0000-0900-000002000000}" name=" " headerRowDxfId="204" dataDxfId="203"/>
    <tableColumn id="3" xr3:uid="{00000000-0010-0000-0900-000003000000}" name="  " headerRowDxfId="202" dataDxfId="201"/>
    <tableColumn id="4" xr3:uid="{00000000-0010-0000-0900-000004000000}" name="Column2" headerRowDxfId="200" dataDxfId="199"/>
    <tableColumn id="5" xr3:uid="{00000000-0010-0000-0900-000005000000}" name="Column3" headerRowDxfId="198" dataDxfId="197"/>
    <tableColumn id="6" xr3:uid="{00000000-0010-0000-0900-000006000000}" name="Column4" headerRowDxfId="196" dataDxfId="195"/>
    <tableColumn id="7" xr3:uid="{00000000-0010-0000-0900-000007000000}" name="Column5" headerRowDxfId="194" dataDxfId="193"/>
  </tableColumns>
  <tableStyleInfo name="Startup Expenses" showFirstColumn="0" showLastColumn="0" showRowStripes="1" showColumnStripes="0"/>
  <extLst>
    <ext xmlns:x14="http://schemas.microsoft.com/office/spreadsheetml/2009/9/main" uri="{504A1905-F514-4f6f-8877-14C23A59335A}">
      <x14:table altText="Table" altTextSummary="Working capital table with amou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blCollateral" displayName="tblCollateral" ref="B132:D138" totalsRowCount="1" headerRowDxfId="192" dataDxfId="191" totalsRowDxfId="190">
  <tableColumns count="3">
    <tableColumn id="1" xr3:uid="{00000000-0010-0000-0A00-000001000000}" name="COLLATERAL FOR LOANS" totalsRowLabel="Total" dataDxfId="189" totalsRowDxfId="2"/>
    <tableColumn id="3" xr3:uid="{00000000-0010-0000-0A00-000003000000}" name="DESCRIPTION" dataDxfId="188" totalsRowDxfId="1"/>
    <tableColumn id="2" xr3:uid="{00000000-0010-0000-0A00-000002000000}" name="VALUE" totalsRowFunction="sum" dataDxfId="187" totalsRowDxfId="0"/>
  </tableColumns>
  <tableStyleInfo name="Startup Expenses" showFirstColumn="0" showLastColumn="0" showRowStripes="1" showColumnStripes="0"/>
  <extLst>
    <ext xmlns:x14="http://schemas.microsoft.com/office/spreadsheetml/2009/9/main" uri="{504A1905-F514-4f6f-8877-14C23A59335A}">
      <x14:table altText="Table" altTextSummary="Collateral for loans table with amou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blOwners" displayName="tblOwners" ref="B140:D143" totalsRowShown="0" headerRowDxfId="186" dataDxfId="185">
  <tableColumns count="3">
    <tableColumn id="1" xr3:uid="{00000000-0010-0000-0B00-000001000000}" name="OWNERS" dataDxfId="184"/>
    <tableColumn id="3" xr3:uid="{00000000-0010-0000-0B00-000003000000}" name=" " dataDxfId="183"/>
    <tableColumn id="2" xr3:uid="{00000000-0010-0000-0B00-000002000000}" name="  " dataDxfId="182"/>
  </tableColumns>
  <tableStyleInfo name="Startup Expenses" showFirstColumn="0" showLastColumn="0" showRowStripes="1" showColumnStripes="0"/>
  <extLst>
    <ext xmlns:x14="http://schemas.microsoft.com/office/spreadsheetml/2009/9/main" uri="{504A1905-F514-4f6f-8877-14C23A59335A}">
      <x14:table altText="Table" altTextSummary="Owners table with amou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blGuarantors" displayName="tblGuarantors" ref="B145:D148" totalsRowShown="0" headerRowDxfId="181" dataDxfId="180">
  <tableColumns count="3">
    <tableColumn id="1" xr3:uid="{00000000-0010-0000-0C00-000001000000}" name="LOAN GUARANTORS (OTHER THAN OWNERS)" dataDxfId="179"/>
    <tableColumn id="5" xr3:uid="{00000000-0010-0000-0C00-000005000000}" name=" " dataDxfId="178"/>
    <tableColumn id="4" xr3:uid="{00000000-0010-0000-0C00-000004000000}" name="  " dataDxfId="177"/>
  </tableColumns>
  <tableStyleInfo name="Startup Expenses" showFirstColumn="0" showLastColumn="0" showRowStripes="1" showColumnStripes="0"/>
  <extLst>
    <ext xmlns:x14="http://schemas.microsoft.com/office/spreadsheetml/2009/9/main" uri="{504A1905-F514-4f6f-8877-14C23A59335A}">
      <x14:table altText="Table" altTextSummary="Loan Guarantors table with amou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D000000}" name="tblBankLoans" displayName="tblBankLoans" ref="B89:H94" totalsRowCount="1" headerRowDxfId="176" dataDxfId="175" totalsRowDxfId="174">
  <tableColumns count="7">
    <tableColumn id="1" xr3:uid="{00000000-0010-0000-0D00-000001000000}" name="LOANS" totalsRowLabel="Total" dataDxfId="173" totalsRowDxfId="172"/>
    <tableColumn id="3" xr3:uid="{00000000-0010-0000-0D00-000003000000}" name=" " dataDxfId="171" totalsRowDxfId="170"/>
    <tableColumn id="2" xr3:uid="{00000000-0010-0000-0D00-000002000000}" name="Option 1" totalsRowFunction="sum" dataDxfId="169" totalsRowDxfId="168"/>
    <tableColumn id="4" xr3:uid="{00000000-0010-0000-0D00-000004000000}" name="Option 2" dataDxfId="167" totalsRowDxfId="166"/>
    <tableColumn id="5" xr3:uid="{00000000-0010-0000-0D00-000005000000}" name="Option 3" dataDxfId="165" totalsRowDxfId="164"/>
    <tableColumn id="6" xr3:uid="{00000000-0010-0000-0D00-000006000000}" name="Option 4" dataDxfId="163" totalsRowDxfId="162"/>
    <tableColumn id="7" xr3:uid="{00000000-0010-0000-0D00-000007000000}" name="Option 5" dataDxfId="161" totalsRowDxfId="160"/>
  </tableColumns>
  <tableStyleInfo name="Startup Expenses" showFirstColumn="0" showLastColumn="1" showRowStripes="1" showColumnStripes="0"/>
  <extLst>
    <ext xmlns:x14="http://schemas.microsoft.com/office/spreadsheetml/2009/9/main" uri="{504A1905-F514-4f6f-8877-14C23A59335A}">
      <x14:table altText="Table" altTextSummary="Bank loans table with amoun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blOtherLoans" displayName="tblOtherLoans" ref="B96:H107" totalsRowCount="1" headerRowDxfId="159" dataDxfId="158" totalsRowDxfId="157">
  <tableColumns count="7">
    <tableColumn id="1" xr3:uid="{00000000-0010-0000-0E00-000001000000}" name="PUBLIC LOANS" totalsRowLabel="Total" dataDxfId="156" totalsRowDxfId="155"/>
    <tableColumn id="3" xr3:uid="{00000000-0010-0000-0E00-000003000000}" name=" " dataDxfId="154" totalsRowDxfId="153"/>
    <tableColumn id="2" xr3:uid="{00000000-0010-0000-0E00-000002000000}" name="Option 1" totalsRowFunction="sum" dataDxfId="152" totalsRowDxfId="151">
      <calculatedColumnFormula>D72*0.6</calculatedColumnFormula>
    </tableColumn>
    <tableColumn id="4" xr3:uid="{00000000-0010-0000-0E00-000004000000}" name="Match Required" dataDxfId="150" totalsRowDxfId="149"/>
    <tableColumn id="5" xr3:uid="{00000000-0010-0000-0E00-000005000000}" name="NETWORK KS MATCH" dataDxfId="148" totalsRowDxfId="147"/>
    <tableColumn id="6" xr3:uid="{00000000-0010-0000-0E00-000006000000}" name="PRIVATE MATCH" dataDxfId="146" totalsRowDxfId="145"/>
    <tableColumn id="7" xr3:uid="{00000000-0010-0000-0E00-000007000000}" name="MATCH REMAINING" dataDxfId="144" totalsRowDxfId="143"/>
  </tableColumns>
  <tableStyleInfo name="Startup Expenses" showFirstColumn="0" showLastColumn="1" showRowStripes="1" showColumnStripes="0"/>
  <extLst>
    <ext xmlns:x14="http://schemas.microsoft.com/office/spreadsheetml/2009/9/main" uri="{504A1905-F514-4f6f-8877-14C23A59335A}">
      <x14:table altText="Table" altTextSummary="Other loans table with amou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blCapitalSources" displayName="tblCapitalSources" ref="B113:H117" totalsRowCount="1" headerRowDxfId="142" dataDxfId="141" totalsRowDxfId="140">
  <tableColumns count="7">
    <tableColumn id="1" xr3:uid="{00000000-0010-0000-0F00-000001000000}" name="SOURCE OF CAPITAL" totalsRowLabel="Total" dataDxfId="139" totalsRowDxfId="138"/>
    <tableColumn id="3" xr3:uid="{00000000-0010-0000-0F00-000003000000}" name=" " dataDxfId="137" totalsRowDxfId="136"/>
    <tableColumn id="2" xr3:uid="{00000000-0010-0000-0F00-000002000000}" name="Option 1" totalsRowFunction="sum" dataDxfId="135" totalsRowDxfId="134">
      <calculatedColumnFormula>tblOtherLoans[[#Totals],[Option 1]]</calculatedColumnFormula>
    </tableColumn>
    <tableColumn id="4" xr3:uid="{00000000-0010-0000-0F00-000004000000}" name="Option 2" dataDxfId="133" totalsRowDxfId="132"/>
    <tableColumn id="5" xr3:uid="{00000000-0010-0000-0F00-000005000000}" name="Option 3" dataDxfId="131" totalsRowDxfId="130"/>
    <tableColumn id="6" xr3:uid="{00000000-0010-0000-0F00-000006000000}" name="Option 4" dataDxfId="129" totalsRowDxfId="128"/>
    <tableColumn id="7" xr3:uid="{00000000-0010-0000-0F00-000007000000}" name="Option 5" dataDxfId="127" totalsRowDxfId="126"/>
  </tableColumns>
  <tableStyleInfo name="Startup Expenses" showFirstColumn="0" showLastColumn="1" showRowStripes="1" showColumnStripes="0"/>
  <extLst>
    <ext xmlns:x14="http://schemas.microsoft.com/office/spreadsheetml/2009/9/main" uri="{504A1905-F514-4f6f-8877-14C23A59335A}">
      <x14:table altText="Table" altTextSummary="Source of capital table with amoun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blStartupExpenses" displayName="tblStartupExpenses" ref="B119:H129" totalsRowCount="1" headerRowDxfId="125" dataDxfId="124" totalsRowDxfId="123">
  <tableColumns count="7">
    <tableColumn id="1" xr3:uid="{00000000-0010-0000-1000-000001000000}" name="STARTUP EXPENSES" totalsRowLabel="Total" dataDxfId="122" totalsRowDxfId="121"/>
    <tableColumn id="3" xr3:uid="{00000000-0010-0000-1000-000003000000}" name=" " dataDxfId="120" totalsRowDxfId="119"/>
    <tableColumn id="2" xr3:uid="{00000000-0010-0000-1000-000002000000}" name="Option 1" totalsRowFunction="custom" dataDxfId="118" totalsRowDxfId="117">
      <totalsRowFormula>SUM(tblStartupExpenses[Option 1])</totalsRowFormula>
    </tableColumn>
    <tableColumn id="4" xr3:uid="{00000000-0010-0000-1000-000004000000}" name="Option 2" dataDxfId="116" totalsRowDxfId="115"/>
    <tableColumn id="5" xr3:uid="{00000000-0010-0000-1000-000005000000}" name="Option 3" dataDxfId="114" totalsRowDxfId="113"/>
    <tableColumn id="6" xr3:uid="{00000000-0010-0000-1000-000006000000}" name="Option 4" dataDxfId="112" totalsRowDxfId="111"/>
    <tableColumn id="7" xr3:uid="{00000000-0010-0000-1000-000007000000}" name="Option 5" dataDxfId="110" totalsRowDxfId="109"/>
  </tableColumns>
  <tableStyleInfo name="Startup Expenses" showFirstColumn="0" showLastColumn="0" showRowStripes="1" showColumnStripes="0"/>
  <extLst>
    <ext xmlns:x14="http://schemas.microsoft.com/office/spreadsheetml/2009/9/main" uri="{504A1905-F514-4f6f-8877-14C23A59335A}">
      <x14:table altText="Table" altTextSummary="Startup expenses table with amoun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blRealEstate20" displayName="tblRealEstate20" ref="B8:H19" totalsRowCount="1" dataDxfId="108" totalsRowDxfId="107" headerRowCellStyle="Heading 2">
  <autoFilter ref="B8:H18" xr:uid="{00000000-0009-0000-0100-000013000000}">
    <filterColumn colId="0" hiddenButton="1"/>
    <filterColumn colId="1" hiddenButton="1"/>
    <filterColumn colId="2" hiddenButton="1"/>
    <filterColumn colId="3" hiddenButton="1"/>
    <filterColumn colId="4" hiddenButton="1"/>
  </autoFilter>
  <tableColumns count="7">
    <tableColumn id="1" xr3:uid="{00000000-0010-0000-1100-000001000000}" name="EMPLOYMENT/CASH INCOME" totalsRowLabel="Total" dataDxfId="106" totalsRowDxfId="105"/>
    <tableColumn id="6" xr3:uid="{00000000-0010-0000-1100-000006000000}" name="Description" dataDxfId="104" totalsRowDxfId="103"/>
    <tableColumn id="7" xr3:uid="{00000000-0010-0000-1100-000007000000}" name="Monthly" dataDxfId="102" totalsRowDxfId="101"/>
    <tableColumn id="2" xr3:uid="{00000000-0010-0000-1100-000002000000}" name="Annual Value" totalsRowFunction="sum" dataDxfId="100" totalsRowDxfId="99"/>
    <tableColumn id="4" xr3:uid="{00000000-0010-0000-1100-000004000000}" name="Loans/Debts to Creditors" totalsRowLabel="Total" dataDxfId="98" totalsRowDxfId="97"/>
    <tableColumn id="5" xr3:uid="{00000000-0010-0000-1100-000005000000}" name="Total Balance/Contract" totalsRowFunction="sum" dataDxfId="96" totalsRowDxfId="95"/>
    <tableColumn id="8" xr3:uid="{00000000-0010-0000-1100-000008000000}" name="Monthly Payment" totalsRowFunction="sum" dataDxfId="94" totalsRowDxfId="93"/>
  </tableColumns>
  <tableStyleInfo name="Startup Expenses" showFirstColumn="0" showLastColumn="0" showRowStripes="1" showColumnStripes="0"/>
  <extLst>
    <ext xmlns:x14="http://schemas.microsoft.com/office/spreadsheetml/2009/9/main" uri="{504A1905-F514-4f6f-8877-14C23A59335A}">
      <x14:table altText="Table" altTextSummary="Buildings and real estate, along with their value amoun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blImprovements29" displayName="tblImprovements29" ref="B21:I58" totalsRowShown="0" headerRowDxfId="92" dataDxfId="91" headerRowCellStyle="Heading 2">
  <tableColumns count="8">
    <tableColumn id="1" xr3:uid="{00000000-0010-0000-1200-000001000000}" name="PROPERTY" dataDxfId="90"/>
    <tableColumn id="6" xr3:uid="{00000000-0010-0000-1200-000006000000}" name="ADDRESS / DESCRIPTION" dataDxfId="89"/>
    <tableColumn id="10" xr3:uid="{00000000-0010-0000-1200-00000A000000}" name="." dataDxfId="88"/>
    <tableColumn id="2" xr3:uid="{00000000-0010-0000-1200-000002000000}" name="Annual " dataDxfId="87"/>
    <tableColumn id="3" xr3:uid="{00000000-0010-0000-1200-000003000000}" name="GENERAL HOUSEHOLD MONTHLY EXPENSES" dataDxfId="86"/>
    <tableColumn id="4" xr3:uid="{00000000-0010-0000-1200-000004000000}" name="DESCRIPTION" dataDxfId="85"/>
    <tableColumn id="7" xr3:uid="{00000000-0010-0000-1200-000007000000}" name="Monthly Payment2" dataDxfId="84"/>
    <tableColumn id="8" xr3:uid="{00000000-0010-0000-1200-000008000000}" name="Annual Payment" dataDxfId="83"/>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RealEstate" displayName="tblRealEstate" ref="B11:H17" totalsRowCount="1" headerRowDxfId="341" dataDxfId="340" totalsRowDxfId="339">
  <tableColumns count="7">
    <tableColumn id="1" xr3:uid="{00000000-0010-0000-0100-000001000000}" name="BUILDINGS/REAL ESTATE" totalsRowLabel="Total" dataDxfId="338" totalsRowDxfId="337"/>
    <tableColumn id="3" xr3:uid="{00000000-0010-0000-0100-000003000000}" name=" " dataDxfId="336" totalsRowDxfId="335"/>
    <tableColumn id="2" xr3:uid="{00000000-0010-0000-0100-000002000000}" name="Option 1" totalsRowFunction="custom" dataDxfId="334" totalsRowDxfId="333">
      <totalsRowFormula>SUM(tblRealEstate[Option 1])</totalsRowFormula>
    </tableColumn>
    <tableColumn id="4" xr3:uid="{00000000-0010-0000-0100-000004000000}" name="Option 2" dataDxfId="332" totalsRowDxfId="331"/>
    <tableColumn id="5" xr3:uid="{00000000-0010-0000-0100-000005000000}" name="Option 3" dataDxfId="330" totalsRowDxfId="329"/>
    <tableColumn id="6" xr3:uid="{00000000-0010-0000-0100-000006000000}" name="Option 4" dataDxfId="328" totalsRowDxfId="327"/>
    <tableColumn id="7" xr3:uid="{00000000-0010-0000-0100-000007000000}" name="Option 5" dataDxfId="326" totalsRowDxfId="325"/>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AE8367E-C85F-DC40-9B4F-AC19157498C0}" name="LoanComparisonInfo27" displayName="LoanComparisonInfo27" ref="B3:J12" headerRowCount="0" totalsRowCount="1" headerRowDxfId="82" dataDxfId="81" totalsRowDxfId="80">
  <tableColumns count="9">
    <tableColumn id="1" xr3:uid="{3B887F2F-A9F3-4644-9550-C843E6D80B34}" name="Column1" totalsRowLabel="Cost of Loan" headerRowDxfId="79" dataDxfId="78" totalsRowDxfId="77" headerRowCellStyle="Heading 1" dataCellStyle="Cost of Loan"/>
    <tableColumn id="2" xr3:uid="{E138D4BC-5E36-A248-9297-2BA44BD4BA49}" name="Column2" totalsRowFunction="custom" headerRowDxfId="76" totalsRowDxfId="75" headerRowCellStyle="Heading 2" dataCellStyle="Amounts">
      <totalsRowFormula>IFERROR(C5+C11,"")</totalsRowFormula>
    </tableColumn>
    <tableColumn id="3" xr3:uid="{43564170-C035-0E48-95C9-BA2E347BED1A}" name="Column3" totalsRowFunction="custom" headerRowDxfId="74" totalsRowDxfId="73" headerRowCellStyle="Heading 2" dataCellStyle="Amounts">
      <totalsRowFormula>IFERROR($D$5+D11,"")</totalsRowFormula>
    </tableColumn>
    <tableColumn id="4" xr3:uid="{9DDD08B5-3279-F54C-957D-83BE18143C3C}" name="Column4" totalsRowFunction="custom" headerRowDxfId="72" totalsRowDxfId="71" headerRowCellStyle="Heading 2" dataCellStyle="Amounts">
      <totalsRowFormula>IFERROR($E$5+E11,"")</totalsRowFormula>
    </tableColumn>
    <tableColumn id="5" xr3:uid="{297BEB4F-A4DD-B542-AB88-9E38855F76BC}" name="Column5" totalsRowFunction="custom" headerRowDxfId="70" totalsRowDxfId="69" dataCellStyle="Amounts">
      <totalsRowFormula>IFERROR($F$5+F11,"")</totalsRowFormula>
    </tableColumn>
    <tableColumn id="6" xr3:uid="{3A4F001E-3A6D-4348-A430-37D144B532C0}" name="Column6" totalsRowFunction="custom" headerRowDxfId="68" totalsRowDxfId="67" dataCellStyle="Amounts">
      <totalsRowFormula>IFERROR($G$5+G11,"")</totalsRowFormula>
    </tableColumn>
    <tableColumn id="7" xr3:uid="{9B8FF5C9-B645-1D47-ADDF-9DFDC3A0EDA6}" name="Column7" totalsRowFunction="custom" headerRowDxfId="66" totalsRowDxfId="65" dataCellStyle="Amounts">
      <totalsRowFormula>IFERROR($H$5+H11,"")</totalsRowFormula>
    </tableColumn>
    <tableColumn id="8" xr3:uid="{55AE5510-B8EA-314C-9364-A6A1E31EB423}" name="Column8" headerRowDxfId="64" dataDxfId="63" totalsRowDxfId="62" dataCellStyle="Amounts"/>
    <tableColumn id="9" xr3:uid="{2945DA77-EA99-934C-8001-EBB0190599CB}" name="Column9" headerRowDxfId="61" totalsRowDxfId="60" dataCellStyle="Amounts"/>
  </tableColumns>
  <tableStyleInfo name="Payment tables 2" showFirstColumn="1" showLastColumn="1" showRowStripes="1" showColumnStripes="0"/>
  <extLst>
    <ext xmlns:x14="http://schemas.microsoft.com/office/spreadsheetml/2009/9/main" uri="{504A1905-F514-4f6f-8877-14C23A59335A}">
      <x14:table altTextSummary="Enter loan amount in B4 and the relevant loan information in columns C, D and 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5185DB5-0727-0A42-A777-5C027A878998}" name="LoanComparisonInfo328" displayName="LoanComparisonInfo328" ref="B14:H22" headerRowCount="0" totalsRowCount="1" headerRowDxfId="59" dataDxfId="58" totalsRowDxfId="57">
  <tableColumns count="7">
    <tableColumn id="1" xr3:uid="{9DDDC492-1081-EB40-9543-BB48287DF73D}" name="Column1" totalsRowLabel="Cost of Loan" headerRowDxfId="56" dataDxfId="55" totalsRowDxfId="54" headerRowCellStyle="Heading 1" dataCellStyle="Cost of Loan"/>
    <tableColumn id="2" xr3:uid="{67083DC1-B168-C245-82CD-8F1EFE1FBA87}" name="Column2" headerRowDxfId="53" totalsRowDxfId="52" headerRowCellStyle="Heading 2" dataCellStyle="Payment comparison table details"/>
    <tableColumn id="3" xr3:uid="{0F885AD8-7EDE-D447-8ECC-C8D35931E7BA}" name="Column3" headerRowDxfId="51" totalsRowDxfId="50" headerRowCellStyle="Heading 2" dataCellStyle="Payment comparison table details"/>
    <tableColumn id="4" xr3:uid="{B0A28C8A-CEA6-E34F-9744-7A852368847F}" name="Column4" headerRowDxfId="49" totalsRowDxfId="48" headerRowCellStyle="Heading 2" dataCellStyle="Payment comparison table details"/>
    <tableColumn id="5" xr3:uid="{A703E753-6514-8648-A134-9954D86C93ED}" name="Column5" headerRowDxfId="47" totalsRowDxfId="46" dataCellStyle="Payment comparison table details"/>
    <tableColumn id="6" xr3:uid="{39921D70-CD04-2146-B16D-EE384C9DEDA6}" name="Column6" headerRowDxfId="45" totalsRowDxfId="44" dataCellStyle="Payment comparison table details"/>
    <tableColumn id="7" xr3:uid="{3937BE16-73FC-C248-B66B-BD330D9FCA7A}" name="Column7" headerRowDxfId="43" totalsRowDxfId="42" dataCellStyle="Payment comparison table details"/>
  </tableColumns>
  <tableStyleInfo name="Payment tables 2" showFirstColumn="1" showLastColumn="1" showRowStripes="1" showColumnStripes="0"/>
  <extLst>
    <ext xmlns:x14="http://schemas.microsoft.com/office/spreadsheetml/2009/9/main" uri="{504A1905-F514-4f6f-8877-14C23A59335A}">
      <x14:table altTextSummary="Enter loan amount in B4 and the relevant loan information in columns C, D and 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44EB49A-99F0-1443-B357-66518892DBF6}" name="LoanLookup" displayName="LoanLookup" ref="B4:F8" totalsRowShown="0" headerRowCellStyle="Heading Fill">
  <tableColumns count="5">
    <tableColumn id="1" xr3:uid="{8E453309-493D-2A4B-A7D3-D6D94E5A5E2C}" name="FREQUENCY"/>
    <tableColumn id="3" xr3:uid="{1512A490-A532-464D-AD73-157672841EC9}" name="MONTH INTERVAL" dataCellStyle="Frequency Lookup"/>
    <tableColumn id="4" xr3:uid="{7EBB3B9D-3550-7144-A88B-661136537E36}" name="DAY INTERVAL" dataCellStyle="Frequency Lookup"/>
    <tableColumn id="5" xr3:uid="{59D6D053-F038-974B-AC2B-058CE917DDED}" name="YEAR INTERVAL" dataCellStyle="Frequency Lookup"/>
    <tableColumn id="6" xr3:uid="{D152B90E-1B39-2143-ABAC-00A38AFAA27D}" name="PAYMENTS PER YEAR" dataCellStyle="Frequency Lookup"/>
  </tableColumns>
  <tableStyleInfo name="Loan Calculator Data 4" showFirstColumn="1" showLastColumn="0" showRowStripes="1" showColumnStripes="0"/>
  <extLst>
    <ext xmlns:x14="http://schemas.microsoft.com/office/spreadsheetml/2009/9/main" uri="{504A1905-F514-4f6f-8877-14C23A59335A}">
      <x14:table altTextSummary="Enter values for payment frequency, for example, bi-monthly, monthly, quarterly, and annually in this 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3000000}" name="tblRealEstate54" displayName="tblRealEstate54" ref="B3:G12" totalsRowCount="1">
  <tableColumns count="6">
    <tableColumn id="1" xr3:uid="{00000000-0010-0000-1300-000001000000}" name="CURRENT EMPLOYEES" totalsRowLabel="Total" dataDxfId="41" totalsRowDxfId="40"/>
    <tableColumn id="3" xr3:uid="{00000000-0010-0000-1300-000003000000}" name="NUMBER OF JOBS" totalsRowFunction="custom" dataDxfId="39" totalsRowDxfId="38">
      <totalsRowFormula>C11+C10+C4</totalsRowFormula>
    </tableColumn>
    <tableColumn id="2" xr3:uid="{00000000-0010-0000-1300-000002000000}" name=" HOURLY WAGE RANGE" totalsRowFunction="sum" dataDxfId="37" totalsRowDxfId="36"/>
    <tableColumn id="6" xr3:uid="{00000000-0010-0000-1300-000006000000}" name="AVERAGE # HOURS WORKED PER WEEK?" totalsRowFunction="sum" dataDxfId="35" totalsRowDxfId="34"/>
    <tableColumn id="4" xr3:uid="{00000000-0010-0000-1300-000004000000}" name="ANNUAL SALARY" totalsRowFunction="sum" dataDxfId="33" totalsRowDxfId="32"/>
    <tableColumn id="5" xr3:uid="{00000000-0010-0000-1300-000005000000}" name="MEDIAN INCOME" totalsRowFunction="custom" dataDxfId="31" totalsRowDxfId="30">
      <calculatedColumnFormula>SUM(G5:G9)</calculatedColumnFormula>
      <totalsRowFormula>G11+G10+G4</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4000000}" name="tblImprovements55" displayName="tblImprovements55" ref="B14:G23" totalsRowCount="1" headerRowDxfId="29">
  <tableColumns count="6">
    <tableColumn id="1" xr3:uid="{00000000-0010-0000-1400-000001000000}" name="NEW EMPLOYEES (year 1)" totalsRowLabel="Total" dataDxfId="28" totalsRowDxfId="27"/>
    <tableColumn id="3" xr3:uid="{00000000-0010-0000-1400-000003000000}" name="NUMBER OF JOBS" totalsRowFunction="sum" dataDxfId="26" totalsRowDxfId="25"/>
    <tableColumn id="2" xr3:uid="{00000000-0010-0000-1400-000002000000}" name="HOURLY WAGE RANGE" totalsRowFunction="sum" dataDxfId="24" totalsRowDxfId="23"/>
    <tableColumn id="4" xr3:uid="{00000000-0010-0000-1400-000004000000}" name="AVERAGE # HOURS WORKED PER WEEK?" totalsRowFunction="custom" dataDxfId="22" totalsRowDxfId="21">
      <totalsRowFormula>SUBTOTAL(109,tblImprovements55[HOURLY WAGE RANGE])</totalsRowFormula>
    </tableColumn>
    <tableColumn id="5" xr3:uid="{00000000-0010-0000-1400-000005000000}" name="ANNUAL SALARY" totalsRowFunction="custom" dataDxfId="20" totalsRowDxfId="19">
      <totalsRowFormula>SUBTOTAL(109,tblImprovements55[AVERAGE '# HOURS WORKED PER WEEK?])</totalsRowFormula>
    </tableColumn>
    <tableColumn id="6" xr3:uid="{00000000-0010-0000-1400-000006000000}" name="MEDIAN INCOME" dataDxfId="18">
      <calculatedColumnFormula>tblImprovements55[[#This Row],[ANNUAL SALARY]]*tblImprovements55[[#This Row],[NUMBER OF JOBS]]</calculatedColumn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18" displayName="Table18" ref="B26:H35" totalsRowShown="0" headerRowDxfId="17" tableBorderDxfId="16">
  <autoFilter ref="B26:H35" xr:uid="{00000000-0009-0000-0100-000012000000}"/>
  <tableColumns count="7">
    <tableColumn id="1" xr3:uid="{00000000-0010-0000-1500-000001000000}" name="NEW JOBS" dataDxfId="15"/>
    <tableColumn id="2" xr3:uid="{00000000-0010-0000-1500-000002000000}" name="Year 1" dataDxfId="14">
      <calculatedColumnFormula>SUM(C28:C32)</calculatedColumnFormula>
    </tableColumn>
    <tableColumn id="3" xr3:uid="{00000000-0010-0000-1500-000003000000}" name="Year 2" dataDxfId="13"/>
    <tableColumn id="4" xr3:uid="{00000000-0010-0000-1500-000004000000}" name="Year 3" dataDxfId="12"/>
    <tableColumn id="5" xr3:uid="{00000000-0010-0000-1500-000005000000}" name="Year 4" dataDxfId="11"/>
    <tableColumn id="6" xr3:uid="{00000000-0010-0000-1500-000006000000}" name="Year 5" dataDxfId="10"/>
    <tableColumn id="7" xr3:uid="{00000000-0010-0000-1500-000007000000}" name="TOTAL JOBS"/>
  </tableColumns>
  <tableStyleInfo name="TableStyleLight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6000000}" name="Table20" displayName="Table20" ref="B36:H46" totalsRowShown="0" headerRowDxfId="9" headerRowBorderDxfId="8" tableBorderDxfId="7">
  <autoFilter ref="B36:H46" xr:uid="{00000000-0009-0000-0100-000014000000}"/>
  <tableColumns count="7">
    <tableColumn id="1" xr3:uid="{00000000-0010-0000-1600-000001000000}" name="EXISTING JOBS"/>
    <tableColumn id="2" xr3:uid="{00000000-0010-0000-1600-000002000000}" name="Year 1"/>
    <tableColumn id="3" xr3:uid="{00000000-0010-0000-1600-000003000000}" name="Year 2" dataDxfId="6"/>
    <tableColumn id="4" xr3:uid="{00000000-0010-0000-1600-000004000000}" name="Year 3" dataDxfId="5"/>
    <tableColumn id="5" xr3:uid="{00000000-0010-0000-1600-000005000000}" name="Year 4" dataDxfId="4"/>
    <tableColumn id="6" xr3:uid="{00000000-0010-0000-1600-000006000000}" name="Year 5" dataDxfId="3"/>
    <tableColumn id="7" xr3:uid="{00000000-0010-0000-1600-000007000000}" name="TOTAL JOBS"/>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Improvements" displayName="tblImprovements" ref="B19:H25" totalsRowCount="1" headerRowDxfId="324" dataDxfId="323" totalsRowDxfId="322">
  <tableColumns count="7">
    <tableColumn id="1" xr3:uid="{00000000-0010-0000-0200-000001000000}" name="BUILDING IMPROVEMENTS/RENOVATION/CONSTRUCTION" totalsRowLabel="Total" dataDxfId="321" totalsRowDxfId="320"/>
    <tableColumn id="3" xr3:uid="{00000000-0010-0000-0200-000003000000}" name=" " dataDxfId="319" totalsRowDxfId="318"/>
    <tableColumn id="2" xr3:uid="{00000000-0010-0000-0200-000002000000}" name="Option 1" totalsRowFunction="custom" dataDxfId="317" totalsRowDxfId="316">
      <totalsRowFormula>SUM(tblImprovements[Option 1])</totalsRowFormula>
    </tableColumn>
    <tableColumn id="4" xr3:uid="{00000000-0010-0000-0200-000004000000}" name="Option 2" totalsRowFunction="custom" dataDxfId="315" totalsRowDxfId="314">
      <totalsRowFormula>SUM(tblImprovements[Option 2])</totalsRowFormula>
    </tableColumn>
    <tableColumn id="5" xr3:uid="{00000000-0010-0000-0200-000005000000}" name="Option 3" totalsRowFunction="custom" dataDxfId="313" totalsRowDxfId="312">
      <totalsRowFormula>SUM(tblImprovements[Option 3])</totalsRowFormula>
    </tableColumn>
    <tableColumn id="6" xr3:uid="{00000000-0010-0000-0200-000006000000}" name="Option 4" totalsRowFunction="custom" dataDxfId="311" totalsRowDxfId="310">
      <totalsRowFormula>SUM(tblImprovements[Option 4])</totalsRowFormula>
    </tableColumn>
    <tableColumn id="7" xr3:uid="{00000000-0010-0000-0200-000007000000}" name="Option 5" totalsRowFunction="custom" dataDxfId="309" totalsRowDxfId="308">
      <totalsRowFormula>SUM(tblImprovements[Option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Capital" displayName="tblCapital" ref="B27:H36" totalsRowCount="1" headerRowDxfId="307" dataDxfId="306" totalsRowDxfId="305">
  <tableColumns count="7">
    <tableColumn id="1" xr3:uid="{00000000-0010-0000-0300-000001000000}" name="CAPITAL EQUIPMENT LIST" totalsRowLabel="Total" dataDxfId="304" totalsRowDxfId="303"/>
    <tableColumn id="3" xr3:uid="{00000000-0010-0000-0300-000003000000}" name=" " dataDxfId="302" totalsRowDxfId="301"/>
    <tableColumn id="2" xr3:uid="{00000000-0010-0000-0300-000002000000}" name="Option 1" totalsRowFunction="custom" dataDxfId="300" totalsRowDxfId="299">
      <totalsRowFormula>SUM(tblCapital[Option 1])</totalsRowFormula>
    </tableColumn>
    <tableColumn id="4" xr3:uid="{00000000-0010-0000-0300-000004000000}" name="Option 2" totalsRowFunction="custom" dataDxfId="298" totalsRowDxfId="297">
      <totalsRowFormula>SUM(tblCapital[Option 2])</totalsRowFormula>
    </tableColumn>
    <tableColumn id="5" xr3:uid="{00000000-0010-0000-0300-000005000000}" name="Option 3" totalsRowFunction="custom" dataDxfId="296" totalsRowDxfId="295">
      <totalsRowFormula>SUM(tblCapital[Option 3])</totalsRowFormula>
    </tableColumn>
    <tableColumn id="6" xr3:uid="{00000000-0010-0000-0300-000006000000}" name="Option 4" totalsRowFunction="custom" dataDxfId="294" totalsRowDxfId="293">
      <totalsRowFormula>SUM(tblCapital[Option 4])</totalsRowFormula>
    </tableColumn>
    <tableColumn id="7" xr3:uid="{00000000-0010-0000-0300-000007000000}" name="Option 5" totalsRowFunction="custom" dataDxfId="292" totalsRowDxfId="291">
      <totalsRowFormula>SUM(tblCapital[Option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Capital equipment list table.  Equipment list and their amou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AdminExpenses" displayName="tblAdminExpenses" ref="B38:H45" totalsRowCount="1" headerRowDxfId="290" dataDxfId="289" totalsRowDxfId="288">
  <tableColumns count="7">
    <tableColumn id="1" xr3:uid="{00000000-0010-0000-0400-000001000000}" name="LOCATION AND ADMIN EXPENSES" totalsRowLabel="Total" dataDxfId="287" totalsRowDxfId="286"/>
    <tableColumn id="3" xr3:uid="{00000000-0010-0000-0400-000003000000}" name=" " dataDxfId="285" totalsRowDxfId="284"/>
    <tableColumn id="2" xr3:uid="{00000000-0010-0000-0400-000002000000}" name="Option 1" totalsRowFunction="custom" dataDxfId="283" totalsRowDxfId="282">
      <totalsRowFormula>SUM(D39:H44)</totalsRowFormula>
    </tableColumn>
    <tableColumn id="4" xr3:uid="{00000000-0010-0000-0400-000004000000}" name="Option 2" totalsRowFunction="custom" dataDxfId="281" totalsRowDxfId="280">
      <totalsRowFormula>SUM(E41:E44)</totalsRowFormula>
    </tableColumn>
    <tableColumn id="5" xr3:uid="{00000000-0010-0000-0400-000005000000}" name="Option 3" totalsRowFunction="custom" dataDxfId="279" totalsRowDxfId="278">
      <totalsRowFormula>SUM(F41:F44)</totalsRowFormula>
    </tableColumn>
    <tableColumn id="6" xr3:uid="{00000000-0010-0000-0400-000006000000}" name="Option 4" totalsRowFunction="custom" dataDxfId="277" totalsRowDxfId="276">
      <totalsRowFormula>SUM(G41:G44)</totalsRowFormula>
    </tableColumn>
    <tableColumn id="7" xr3:uid="{00000000-0010-0000-0400-000007000000}" name="Option 5" totalsRowFunction="custom" dataDxfId="275" totalsRowDxfId="274">
      <totalsRowFormula>SUM(H41:H44)</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ocation and admin expenses table.  Item names and their amou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OpeningInventory" displayName="tblOpeningInventory" ref="B47:H53" totalsRowCount="1" headerRowDxfId="273" dataDxfId="272" totalsRowDxfId="271">
  <tableColumns count="7">
    <tableColumn id="1" xr3:uid="{00000000-0010-0000-0500-000001000000}" name="OPENING INVENTORY" totalsRowLabel="Total" dataDxfId="270" totalsRowDxfId="269"/>
    <tableColumn id="3" xr3:uid="{00000000-0010-0000-0500-000003000000}" name="Make this section applicable to your busienss!" dataDxfId="268" totalsRowDxfId="267"/>
    <tableColumn id="2" xr3:uid="{00000000-0010-0000-0500-000002000000}" name="Option 1" totalsRowFunction="sum" dataDxfId="266" totalsRowDxfId="265"/>
    <tableColumn id="4" xr3:uid="{00000000-0010-0000-0500-000004000000}" name="Option 2" totalsRowFunction="custom" dataDxfId="264" totalsRowDxfId="263">
      <totalsRowFormula>SUBTOTAL(109,tblOpeningInventory[OPENING INVENTORY])</totalsRowFormula>
    </tableColumn>
    <tableColumn id="5" xr3:uid="{00000000-0010-0000-0500-000005000000}" name="Option 3" totalsRowFunction="custom" dataDxfId="262" totalsRowDxfId="261">
      <totalsRowFormula>SUBTOTAL(109,tblOpeningInventory[Make this section applicable to your busienss!])</totalsRowFormula>
    </tableColumn>
    <tableColumn id="6" xr3:uid="{00000000-0010-0000-0500-000006000000}" name="Option 4" totalsRowFunction="custom" dataDxfId="260" totalsRowDxfId="259">
      <totalsRowFormula>SUBTOTAL(109,tblOpeningInventory[Option 1])</totalsRowFormula>
    </tableColumn>
    <tableColumn id="7" xr3:uid="{00000000-0010-0000-0500-000007000000}" name="Option 5" totalsRowFunction="custom" dataDxfId="258" totalsRowDxfId="257">
      <totalsRowFormula>SUBTOTAL(109,tblOpeningInventory[OPENING INVENTORY])</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Opening inventory table.  Item names and their amou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PromoExpenses" displayName="tblPromoExpenses" ref="B55:H61" totalsRowCount="1" headerRowDxfId="256" dataDxfId="255" totalsRowDxfId="254">
  <tableColumns count="7">
    <tableColumn id="1" xr3:uid="{00000000-0010-0000-0600-000001000000}" name="ADVERTISING AND PROMOTIONAL EXPENSES" totalsRowLabel="Total" dataDxfId="253" totalsRowDxfId="252"/>
    <tableColumn id="3" xr3:uid="{00000000-0010-0000-0600-000003000000}" name=" " dataDxfId="251" totalsRowDxfId="250"/>
    <tableColumn id="2" xr3:uid="{00000000-0010-0000-0600-000002000000}" name="Option 1" totalsRowFunction="custom" dataDxfId="249" totalsRowDxfId="248">
      <totalsRowFormula>SUM(tblPromoExpenses[Option 1])</totalsRowFormula>
    </tableColumn>
    <tableColumn id="4" xr3:uid="{00000000-0010-0000-0600-000004000000}" name="Option 2" totalsRowFunction="custom" dataDxfId="247" totalsRowDxfId="246">
      <totalsRowFormula>SUM(tblPromoExpenses[Option 2])</totalsRowFormula>
    </tableColumn>
    <tableColumn id="5" xr3:uid="{00000000-0010-0000-0600-000005000000}" name="Option 3" totalsRowFunction="custom" dataDxfId="245" totalsRowDxfId="244">
      <totalsRowFormula>SUM(tblPromoExpenses[Option 3])</totalsRowFormula>
    </tableColumn>
    <tableColumn id="6" xr3:uid="{00000000-0010-0000-0600-000006000000}" name="Option 4" totalsRowFunction="custom" dataDxfId="243" totalsRowDxfId="242">
      <totalsRowFormula>SUM(tblPromoExpenses[Option 4])</totalsRowFormula>
    </tableColumn>
    <tableColumn id="7" xr3:uid="{00000000-0010-0000-0600-000007000000}" name="Option 5" totalsRowFunction="custom" dataDxfId="241" totalsRowDxfId="240">
      <totalsRowFormula>SUM(tblPromoExpenses[Option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Advertising and promotional expenses table.  Item names and their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OtherExpenses" displayName="tblOtherExpenses" ref="B63:H66" totalsRowCount="1" headerRowDxfId="239" dataDxfId="238" totalsRowDxfId="237">
  <tableColumns count="7">
    <tableColumn id="1" xr3:uid="{00000000-0010-0000-0700-000001000000}" name="OTHER EXPENSES" totalsRowLabel="Total" dataDxfId="236" totalsRowDxfId="235"/>
    <tableColumn id="3" xr3:uid="{00000000-0010-0000-0700-000003000000}" name=" " dataDxfId="234" totalsRowDxfId="233"/>
    <tableColumn id="2" xr3:uid="{00000000-0010-0000-0700-000002000000}" name="Option 1" totalsRowFunction="custom" dataDxfId="232" totalsRowDxfId="231">
      <totalsRowFormula>SUM(tblOtherExpenses[Option 1])</totalsRowFormula>
    </tableColumn>
    <tableColumn id="4" xr3:uid="{00000000-0010-0000-0700-000004000000}" name="Option 2" dataDxfId="230" totalsRowDxfId="229"/>
    <tableColumn id="5" xr3:uid="{00000000-0010-0000-0700-000005000000}" name="Option 3" dataDxfId="228" totalsRowDxfId="227"/>
    <tableColumn id="6" xr3:uid="{00000000-0010-0000-0700-000006000000}" name="Option 4" dataDxfId="226" totalsRowDxfId="225"/>
    <tableColumn id="7" xr3:uid="{00000000-0010-0000-0700-000007000000}" name="Option 5" dataDxfId="224" totalsRowDxfId="223"/>
  </tableColumns>
  <tableStyleInfo name="Startup Expenses" showFirstColumn="0" showLastColumn="1" showRowStripes="1" showColumnStripes="0"/>
  <extLst>
    <ext xmlns:x14="http://schemas.microsoft.com/office/spreadsheetml/2009/9/main" uri="{504A1905-F514-4f6f-8877-14C23A59335A}">
      <x14:table altText="Table" altTextSummary="Other expenses table.  Item names and their amou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blContingencies" displayName="tblContingencies" ref="B68:H68" headerRowCount="0" totalsRowShown="0" headerRowDxfId="222" dataDxfId="221">
  <tableColumns count="7">
    <tableColumn id="1" xr3:uid="{00000000-0010-0000-0800-000001000000}" name="Column1" dataDxfId="220"/>
    <tableColumn id="2" xr3:uid="{00000000-0010-0000-0800-000002000000}" name=" " headerRowDxfId="219" dataDxfId="218"/>
    <tableColumn id="3" xr3:uid="{00000000-0010-0000-0800-000003000000}" name="  " headerRowDxfId="217" dataDxfId="216">
      <calculatedColumnFormula>tblImprovements[[#Totals],[Option 1]]*0.1</calculatedColumnFormula>
    </tableColumn>
    <tableColumn id="4" xr3:uid="{00000000-0010-0000-0800-000004000000}" name="Column2" headerRowDxfId="215" dataDxfId="214"/>
    <tableColumn id="5" xr3:uid="{00000000-0010-0000-0800-000005000000}" name="Column3" headerRowDxfId="213" dataDxfId="212"/>
    <tableColumn id="6" xr3:uid="{00000000-0010-0000-0800-000006000000}" name="Column4" headerRowDxfId="211" dataDxfId="210"/>
    <tableColumn id="7" xr3:uid="{00000000-0010-0000-0800-000007000000}" name="Column5" headerRowDxfId="209" dataDxfId="208"/>
  </tableColumns>
  <tableStyleInfo name="Startup Expenses" showFirstColumn="0" showLastColumn="0" showRowStripes="1" showColumnStripes="0"/>
  <extLst>
    <ext xmlns:x14="http://schemas.microsoft.com/office/spreadsheetml/2009/9/main" uri="{504A1905-F514-4f6f-8877-14C23A59335A}">
      <x14:table altText="Table" altTextSummary="Reserve for contingencies table with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5.bin"/><Relationship Id="rId5" Type="http://schemas.openxmlformats.org/officeDocument/2006/relationships/table" Target="../tables/table26.xml"/><Relationship Id="rId4" Type="http://schemas.openxmlformats.org/officeDocument/2006/relationships/table" Target="../tables/table2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youtu.be/agbSIYMCNy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A87"/>
    <pageSetUpPr autoPageBreaks="0" fitToPage="1"/>
  </sheetPr>
  <dimension ref="A1:H148"/>
  <sheetViews>
    <sheetView showGridLines="0" tabSelected="1" zoomScale="140" zoomScaleNormal="140" zoomScaleSheetLayoutView="100" workbookViewId="0">
      <selection activeCell="B1" sqref="B1"/>
    </sheetView>
  </sheetViews>
  <sheetFormatPr defaultColWidth="9.2109375" defaultRowHeight="21" customHeight="1" x14ac:dyDescent="0.4"/>
  <cols>
    <col min="1" max="1" width="2.5703125" style="173" customWidth="1"/>
    <col min="2" max="2" width="48.5703125" style="173" customWidth="1"/>
    <col min="3" max="3" width="51.78515625" style="173" customWidth="1"/>
    <col min="4" max="4" width="19.42578125" style="173" customWidth="1"/>
    <col min="5" max="7" width="13.5703125" style="173" hidden="1" customWidth="1"/>
    <col min="8" max="8" width="17.42578125" style="173" hidden="1" customWidth="1"/>
    <col min="9" max="9" width="13.5703125" style="173" customWidth="1"/>
    <col min="10" max="16384" width="9.2109375" style="173"/>
  </cols>
  <sheetData>
    <row r="1" spans="1:8" ht="41.25" customHeight="1" x14ac:dyDescent="0.4">
      <c r="A1" s="193" t="s">
        <v>4</v>
      </c>
      <c r="B1" s="194"/>
      <c r="C1" s="194"/>
      <c r="D1" s="126" t="s">
        <v>47</v>
      </c>
      <c r="E1" s="174"/>
      <c r="F1" s="174"/>
      <c r="G1" s="174"/>
    </row>
    <row r="2" spans="1:8" ht="21" hidden="1" customHeight="1" x14ac:dyDescent="0.4"/>
    <row r="3" spans="1:8" ht="21" hidden="1" customHeight="1" x14ac:dyDescent="0.4"/>
    <row r="4" spans="1:8" ht="21" hidden="1" customHeight="1" x14ac:dyDescent="0.4"/>
    <row r="5" spans="1:8" ht="21" hidden="1" customHeight="1" x14ac:dyDescent="0.4"/>
    <row r="6" spans="1:8" ht="21" hidden="1" customHeight="1" x14ac:dyDescent="0.4"/>
    <row r="7" spans="1:8" ht="21" hidden="1" customHeight="1" x14ac:dyDescent="0.4"/>
    <row r="8" spans="1:8" ht="21" hidden="1" customHeight="1" x14ac:dyDescent="0.4"/>
    <row r="9" spans="1:8" ht="21" hidden="1" customHeight="1" x14ac:dyDescent="0.4"/>
    <row r="10" spans="1:8" ht="21" customHeight="1" x14ac:dyDescent="0.4">
      <c r="B10" s="175" t="s">
        <v>4</v>
      </c>
    </row>
    <row r="11" spans="1:8" ht="21" customHeight="1" x14ac:dyDescent="0.4">
      <c r="B11" s="176" t="s">
        <v>33</v>
      </c>
      <c r="C11" s="173" t="s">
        <v>42</v>
      </c>
      <c r="D11" s="177" t="s">
        <v>427</v>
      </c>
      <c r="E11" s="177" t="s">
        <v>428</v>
      </c>
      <c r="F11" s="177" t="s">
        <v>429</v>
      </c>
      <c r="G11" s="177" t="s">
        <v>430</v>
      </c>
      <c r="H11" s="177" t="s">
        <v>431</v>
      </c>
    </row>
    <row r="12" spans="1:8" ht="21" customHeight="1" x14ac:dyDescent="0.4">
      <c r="B12" s="178" t="s">
        <v>48</v>
      </c>
      <c r="C12" s="298" t="s">
        <v>42</v>
      </c>
      <c r="D12" s="179"/>
      <c r="E12" s="179"/>
      <c r="F12" s="179"/>
      <c r="G12" s="179"/>
      <c r="H12" s="179"/>
    </row>
    <row r="13" spans="1:8" ht="21" customHeight="1" x14ac:dyDescent="0.4">
      <c r="B13" s="178" t="s">
        <v>49</v>
      </c>
      <c r="D13" s="179"/>
      <c r="E13" s="179"/>
      <c r="F13" s="179"/>
      <c r="G13" s="179"/>
      <c r="H13" s="179"/>
    </row>
    <row r="14" spans="1:8" ht="21" customHeight="1" x14ac:dyDescent="0.4">
      <c r="B14" s="178" t="s">
        <v>437</v>
      </c>
      <c r="D14" s="179"/>
      <c r="E14" s="179"/>
      <c r="F14" s="179"/>
      <c r="G14" s="179"/>
      <c r="H14" s="179"/>
    </row>
    <row r="15" spans="1:8" ht="21" customHeight="1" x14ac:dyDescent="0.4">
      <c r="B15" s="178" t="s">
        <v>438</v>
      </c>
      <c r="C15" s="298" t="s">
        <v>42</v>
      </c>
      <c r="D15" s="179"/>
      <c r="E15" s="179"/>
      <c r="F15" s="179"/>
      <c r="G15" s="179"/>
      <c r="H15" s="179"/>
    </row>
    <row r="16" spans="1:8" ht="21" customHeight="1" x14ac:dyDescent="0.4">
      <c r="B16" s="186"/>
      <c r="C16" s="298"/>
      <c r="D16" s="179"/>
      <c r="E16" s="179"/>
      <c r="F16" s="179"/>
      <c r="G16" s="179"/>
      <c r="H16" s="179"/>
    </row>
    <row r="17" spans="2:8" ht="21" customHeight="1" x14ac:dyDescent="0.4">
      <c r="B17" s="186" t="s">
        <v>31</v>
      </c>
      <c r="D17" s="299">
        <f>SUM(tblRealEstate[Option 1])</f>
        <v>0</v>
      </c>
      <c r="E17" s="299"/>
      <c r="F17" s="299"/>
      <c r="G17" s="299"/>
      <c r="H17" s="299"/>
    </row>
    <row r="18" spans="2:8" ht="21" customHeight="1" x14ac:dyDescent="0.4">
      <c r="B18" s="449"/>
      <c r="C18" s="449"/>
      <c r="D18" s="449"/>
    </row>
    <row r="19" spans="2:8" ht="21" customHeight="1" x14ac:dyDescent="0.4">
      <c r="B19" s="176" t="s">
        <v>217</v>
      </c>
      <c r="C19" s="173" t="s">
        <v>42</v>
      </c>
      <c r="D19" s="177" t="s">
        <v>427</v>
      </c>
      <c r="E19" s="177" t="s">
        <v>428</v>
      </c>
      <c r="F19" s="177" t="s">
        <v>429</v>
      </c>
      <c r="G19" s="177" t="s">
        <v>430</v>
      </c>
      <c r="H19" s="177" t="s">
        <v>431</v>
      </c>
    </row>
    <row r="20" spans="2:8" ht="21" customHeight="1" x14ac:dyDescent="0.4">
      <c r="B20" s="178" t="s">
        <v>269</v>
      </c>
      <c r="D20" s="179"/>
      <c r="E20" s="179"/>
      <c r="F20" s="179"/>
      <c r="G20" s="179"/>
      <c r="H20" s="179"/>
    </row>
    <row r="21" spans="2:8" ht="21" customHeight="1" x14ac:dyDescent="0.4">
      <c r="B21" s="178" t="s">
        <v>267</v>
      </c>
      <c r="D21" s="179"/>
      <c r="E21" s="179"/>
      <c r="F21" s="179"/>
      <c r="G21" s="179"/>
      <c r="H21" s="179"/>
    </row>
    <row r="22" spans="2:8" ht="21" customHeight="1" x14ac:dyDescent="0.4">
      <c r="B22" s="178" t="s">
        <v>268</v>
      </c>
      <c r="D22" s="179"/>
      <c r="E22" s="179"/>
      <c r="F22" s="179"/>
      <c r="G22" s="179"/>
      <c r="H22" s="179"/>
    </row>
    <row r="23" spans="2:8" ht="21" customHeight="1" x14ac:dyDescent="0.4">
      <c r="B23" s="178" t="s">
        <v>270</v>
      </c>
      <c r="D23" s="179"/>
      <c r="E23" s="179"/>
      <c r="F23" s="179"/>
      <c r="G23" s="179"/>
      <c r="H23" s="179"/>
    </row>
    <row r="24" spans="2:8" ht="21" customHeight="1" x14ac:dyDescent="0.4">
      <c r="B24" s="178" t="s">
        <v>276</v>
      </c>
      <c r="D24" s="179"/>
      <c r="E24" s="179"/>
      <c r="F24" s="179"/>
      <c r="G24" s="179"/>
      <c r="H24" s="179"/>
    </row>
    <row r="25" spans="2:8" ht="21" customHeight="1" x14ac:dyDescent="0.4">
      <c r="B25" s="178" t="s">
        <v>31</v>
      </c>
      <c r="D25" s="299">
        <f>SUM(tblImprovements[Option 1])</f>
        <v>0</v>
      </c>
      <c r="E25" s="179">
        <f>SUM(tblImprovements[Option 2])</f>
        <v>0</v>
      </c>
      <c r="F25" s="179">
        <f>SUM(tblImprovements[Option 3])</f>
        <v>0</v>
      </c>
      <c r="G25" s="179">
        <f>SUM(tblImprovements[Option 4])</f>
        <v>0</v>
      </c>
      <c r="H25" s="179">
        <f>SUM(tblImprovements[Option 5])</f>
        <v>0</v>
      </c>
    </row>
    <row r="26" spans="2:8" ht="21" customHeight="1" x14ac:dyDescent="0.4">
      <c r="B26" s="449"/>
      <c r="C26" s="449"/>
      <c r="D26" s="449"/>
    </row>
    <row r="27" spans="2:8" ht="21" customHeight="1" x14ac:dyDescent="0.4">
      <c r="B27" s="176" t="s">
        <v>34</v>
      </c>
      <c r="C27" s="173" t="s">
        <v>42</v>
      </c>
      <c r="D27" s="177" t="s">
        <v>427</v>
      </c>
      <c r="E27" s="177" t="s">
        <v>428</v>
      </c>
      <c r="F27" s="177" t="s">
        <v>429</v>
      </c>
      <c r="G27" s="177" t="s">
        <v>430</v>
      </c>
      <c r="H27" s="177" t="s">
        <v>431</v>
      </c>
    </row>
    <row r="28" spans="2:8" ht="21" customHeight="1" x14ac:dyDescent="0.4">
      <c r="B28" s="178" t="s">
        <v>277</v>
      </c>
      <c r="D28" s="179"/>
      <c r="E28" s="179"/>
      <c r="F28" s="179"/>
      <c r="G28" s="179"/>
      <c r="H28" s="179"/>
    </row>
    <row r="29" spans="2:8" ht="21" customHeight="1" x14ac:dyDescent="0.4">
      <c r="B29" s="178" t="s">
        <v>439</v>
      </c>
      <c r="D29" s="179"/>
      <c r="E29" s="179"/>
      <c r="F29" s="179"/>
      <c r="G29" s="179"/>
      <c r="H29" s="179"/>
    </row>
    <row r="30" spans="2:8" ht="21" customHeight="1" x14ac:dyDescent="0.4">
      <c r="B30" s="178" t="s">
        <v>439</v>
      </c>
      <c r="D30" s="179"/>
      <c r="E30" s="179"/>
      <c r="F30" s="179"/>
      <c r="G30" s="179"/>
      <c r="H30" s="179"/>
    </row>
    <row r="31" spans="2:8" ht="21" customHeight="1" x14ac:dyDescent="0.4">
      <c r="B31" s="178" t="s">
        <v>347</v>
      </c>
      <c r="D31" s="179"/>
      <c r="E31" s="179"/>
      <c r="F31" s="179"/>
      <c r="G31" s="179"/>
      <c r="H31" s="179"/>
    </row>
    <row r="32" spans="2:8" ht="21" customHeight="1" x14ac:dyDescent="0.4">
      <c r="B32" s="178"/>
      <c r="D32" s="179"/>
      <c r="E32" s="179"/>
      <c r="F32" s="179"/>
      <c r="G32" s="179"/>
      <c r="H32" s="179"/>
    </row>
    <row r="33" spans="2:8" ht="21" customHeight="1" x14ac:dyDescent="0.4">
      <c r="B33" s="178"/>
      <c r="D33" s="179"/>
      <c r="E33" s="179"/>
      <c r="F33" s="179"/>
      <c r="G33" s="179"/>
      <c r="H33" s="179"/>
    </row>
    <row r="34" spans="2:8" ht="21" customHeight="1" x14ac:dyDescent="0.4">
      <c r="B34" s="178"/>
      <c r="D34" s="179"/>
      <c r="E34" s="179"/>
      <c r="F34" s="179"/>
      <c r="G34" s="179"/>
      <c r="H34" s="179"/>
    </row>
    <row r="35" spans="2:8" ht="21" customHeight="1" x14ac:dyDescent="0.4">
      <c r="B35" s="178"/>
      <c r="D35" s="179"/>
      <c r="E35" s="179"/>
      <c r="F35" s="179"/>
      <c r="G35" s="179"/>
      <c r="H35" s="179"/>
    </row>
    <row r="36" spans="2:8" ht="21" customHeight="1" x14ac:dyDescent="0.4">
      <c r="B36" s="178" t="s">
        <v>31</v>
      </c>
      <c r="D36" s="299">
        <f>SUM(tblCapital[Option 1])</f>
        <v>0</v>
      </c>
      <c r="E36" s="179">
        <f>SUM(tblCapital[Option 2])</f>
        <v>0</v>
      </c>
      <c r="F36" s="179">
        <f>SUM(tblCapital[Option 3])</f>
        <v>0</v>
      </c>
      <c r="G36" s="179">
        <f>SUM(tblCapital[Option 4])</f>
        <v>0</v>
      </c>
      <c r="H36" s="179">
        <f>SUM(tblCapital[Option 5])</f>
        <v>0</v>
      </c>
    </row>
    <row r="37" spans="2:8" ht="21" customHeight="1" x14ac:dyDescent="0.4">
      <c r="B37" s="449"/>
      <c r="C37" s="449"/>
      <c r="D37" s="449"/>
    </row>
    <row r="38" spans="2:8" ht="21" customHeight="1" x14ac:dyDescent="0.4">
      <c r="B38" s="176" t="s">
        <v>35</v>
      </c>
      <c r="C38" s="173" t="s">
        <v>42</v>
      </c>
      <c r="D38" s="177" t="s">
        <v>427</v>
      </c>
      <c r="E38" s="177" t="s">
        <v>428</v>
      </c>
      <c r="F38" s="177" t="s">
        <v>429</v>
      </c>
      <c r="G38" s="177" t="s">
        <v>430</v>
      </c>
      <c r="H38" s="177" t="s">
        <v>431</v>
      </c>
    </row>
    <row r="39" spans="2:8" ht="21" customHeight="1" x14ac:dyDescent="0.4">
      <c r="B39" s="178" t="s">
        <v>244</v>
      </c>
      <c r="D39" s="179"/>
      <c r="E39" s="179"/>
      <c r="F39" s="179"/>
      <c r="G39" s="179"/>
      <c r="H39" s="179"/>
    </row>
    <row r="40" spans="2:8" ht="21" customHeight="1" x14ac:dyDescent="0.4">
      <c r="B40" s="178" t="s">
        <v>185</v>
      </c>
      <c r="D40" s="179"/>
      <c r="E40" s="179"/>
      <c r="F40" s="179"/>
      <c r="G40" s="179"/>
      <c r="H40" s="179"/>
    </row>
    <row r="41" spans="2:8" ht="21" customHeight="1" x14ac:dyDescent="0.4">
      <c r="B41" s="178" t="s">
        <v>7</v>
      </c>
      <c r="D41" s="179"/>
      <c r="E41" s="179"/>
      <c r="F41" s="179"/>
      <c r="G41" s="179"/>
      <c r="H41" s="179"/>
    </row>
    <row r="42" spans="2:8" ht="21" customHeight="1" x14ac:dyDescent="0.4">
      <c r="B42" s="178" t="s">
        <v>120</v>
      </c>
      <c r="C42" s="173" t="s">
        <v>245</v>
      </c>
      <c r="D42" s="179"/>
      <c r="E42" s="179"/>
      <c r="F42" s="179"/>
      <c r="G42" s="179"/>
      <c r="H42" s="179"/>
    </row>
    <row r="43" spans="2:8" ht="21" customHeight="1" x14ac:dyDescent="0.4">
      <c r="B43" s="178" t="s">
        <v>271</v>
      </c>
      <c r="D43" s="179"/>
      <c r="E43" s="179"/>
      <c r="F43" s="179"/>
      <c r="G43" s="179"/>
      <c r="H43" s="179"/>
    </row>
    <row r="44" spans="2:8" ht="21" customHeight="1" x14ac:dyDescent="0.4">
      <c r="B44" s="178" t="s">
        <v>5</v>
      </c>
      <c r="D44" s="179"/>
      <c r="E44" s="179"/>
      <c r="F44" s="179"/>
      <c r="G44" s="179"/>
      <c r="H44" s="179"/>
    </row>
    <row r="45" spans="2:8" ht="21" customHeight="1" x14ac:dyDescent="0.4">
      <c r="B45" s="178" t="s">
        <v>31</v>
      </c>
      <c r="D45" s="179">
        <f>SUM(D39:H44)</f>
        <v>0</v>
      </c>
      <c r="E45" s="179">
        <f>SUM(E41:E44)</f>
        <v>0</v>
      </c>
      <c r="F45" s="179">
        <f>SUM(F41:F44)</f>
        <v>0</v>
      </c>
      <c r="G45" s="179">
        <f>SUM(G41:G44)</f>
        <v>0</v>
      </c>
      <c r="H45" s="179">
        <f>SUM(H41:H44)</f>
        <v>0</v>
      </c>
    </row>
    <row r="46" spans="2:8" ht="21" customHeight="1" x14ac:dyDescent="0.4">
      <c r="B46" s="449"/>
      <c r="C46" s="449"/>
      <c r="D46" s="449"/>
    </row>
    <row r="47" spans="2:8" ht="21" customHeight="1" x14ac:dyDescent="0.4">
      <c r="B47" s="176" t="s">
        <v>36</v>
      </c>
      <c r="C47" s="173" t="s">
        <v>442</v>
      </c>
      <c r="D47" s="177" t="s">
        <v>427</v>
      </c>
      <c r="E47" s="177" t="s">
        <v>428</v>
      </c>
      <c r="F47" s="177" t="s">
        <v>429</v>
      </c>
      <c r="G47" s="177" t="s">
        <v>430</v>
      </c>
      <c r="H47" s="177" t="s">
        <v>431</v>
      </c>
    </row>
    <row r="48" spans="2:8" ht="21" customHeight="1" x14ac:dyDescent="0.4">
      <c r="B48" s="178" t="s">
        <v>440</v>
      </c>
      <c r="D48" s="179"/>
      <c r="E48" s="179"/>
      <c r="F48" s="179"/>
      <c r="G48" s="179"/>
      <c r="H48" s="179"/>
    </row>
    <row r="49" spans="2:8" ht="21" customHeight="1" x14ac:dyDescent="0.4">
      <c r="B49" s="178" t="s">
        <v>441</v>
      </c>
      <c r="D49" s="179"/>
      <c r="E49" s="179"/>
      <c r="F49" s="179"/>
      <c r="G49" s="179"/>
      <c r="H49" s="179"/>
    </row>
    <row r="50" spans="2:8" ht="21" customHeight="1" x14ac:dyDescent="0.4">
      <c r="B50" s="178" t="s">
        <v>8</v>
      </c>
      <c r="D50" s="179"/>
      <c r="E50" s="179"/>
      <c r="F50" s="179"/>
      <c r="G50" s="179"/>
      <c r="H50" s="179"/>
    </row>
    <row r="51" spans="2:8" ht="21" customHeight="1" x14ac:dyDescent="0.4">
      <c r="B51" s="178" t="s">
        <v>9</v>
      </c>
      <c r="D51" s="179"/>
      <c r="E51" s="179"/>
      <c r="F51" s="179"/>
      <c r="G51" s="179"/>
      <c r="H51" s="179"/>
    </row>
    <row r="52" spans="2:8" ht="21" customHeight="1" x14ac:dyDescent="0.4">
      <c r="B52" s="178" t="s">
        <v>10</v>
      </c>
      <c r="D52" s="179"/>
      <c r="E52" s="179"/>
      <c r="F52" s="179"/>
      <c r="G52" s="179"/>
      <c r="H52" s="179"/>
    </row>
    <row r="53" spans="2:8" ht="21" customHeight="1" x14ac:dyDescent="0.4">
      <c r="B53" s="178" t="s">
        <v>31</v>
      </c>
      <c r="D53" s="179">
        <f>SUBTOTAL(109,tblOpeningInventory[Option 1])</f>
        <v>0</v>
      </c>
      <c r="E53" s="173">
        <f>SUBTOTAL(109,tblOpeningInventory[OPENING INVENTORY])</f>
        <v>0</v>
      </c>
      <c r="F53" s="173">
        <f>SUBTOTAL(109,tblOpeningInventory[Make this section applicable to your busienss!])</f>
        <v>0</v>
      </c>
      <c r="G53" s="173">
        <f>SUBTOTAL(109,tblOpeningInventory[Option 1])</f>
        <v>0</v>
      </c>
      <c r="H53" s="173">
        <f>SUBTOTAL(109,tblOpeningInventory[OPENING INVENTORY])</f>
        <v>0</v>
      </c>
    </row>
    <row r="54" spans="2:8" ht="21" customHeight="1" x14ac:dyDescent="0.4">
      <c r="B54" s="449"/>
      <c r="C54" s="449"/>
      <c r="D54" s="449"/>
    </row>
    <row r="55" spans="2:8" ht="21" customHeight="1" x14ac:dyDescent="0.4">
      <c r="B55" s="176" t="s">
        <v>37</v>
      </c>
      <c r="C55" s="173" t="s">
        <v>42</v>
      </c>
      <c r="D55" s="177" t="s">
        <v>427</v>
      </c>
      <c r="E55" s="177" t="s">
        <v>428</v>
      </c>
      <c r="F55" s="177" t="s">
        <v>429</v>
      </c>
      <c r="G55" s="177" t="s">
        <v>430</v>
      </c>
      <c r="H55" s="177" t="s">
        <v>431</v>
      </c>
    </row>
    <row r="56" spans="2:8" ht="21" customHeight="1" x14ac:dyDescent="0.4">
      <c r="B56" s="178" t="s">
        <v>11</v>
      </c>
      <c r="C56" s="173" t="s">
        <v>343</v>
      </c>
      <c r="D56" s="179"/>
      <c r="E56" s="179"/>
      <c r="F56" s="179"/>
      <c r="G56" s="179"/>
      <c r="H56" s="179"/>
    </row>
    <row r="57" spans="2:8" ht="21" customHeight="1" x14ac:dyDescent="0.4">
      <c r="B57" s="178" t="s">
        <v>12</v>
      </c>
      <c r="D57" s="179"/>
      <c r="E57" s="179"/>
      <c r="F57" s="179"/>
      <c r="G57" s="179"/>
      <c r="H57" s="179"/>
    </row>
    <row r="58" spans="2:8" ht="21" customHeight="1" x14ac:dyDescent="0.4">
      <c r="B58" s="178" t="s">
        <v>13</v>
      </c>
      <c r="D58" s="179"/>
      <c r="E58" s="179"/>
      <c r="F58" s="179"/>
      <c r="G58" s="179"/>
      <c r="H58" s="179"/>
    </row>
    <row r="59" spans="2:8" ht="21" customHeight="1" x14ac:dyDescent="0.4">
      <c r="B59" s="178"/>
      <c r="D59" s="179"/>
      <c r="E59" s="179"/>
      <c r="F59" s="179"/>
      <c r="G59" s="179"/>
      <c r="H59" s="179"/>
    </row>
    <row r="60" spans="2:8" ht="21" customHeight="1" x14ac:dyDescent="0.4">
      <c r="B60" s="186"/>
      <c r="D60" s="179"/>
      <c r="E60" s="179"/>
      <c r="F60" s="179"/>
      <c r="G60" s="179"/>
      <c r="H60" s="179"/>
    </row>
    <row r="61" spans="2:8" ht="21" customHeight="1" x14ac:dyDescent="0.4">
      <c r="B61" s="186" t="s">
        <v>31</v>
      </c>
      <c r="D61" s="179">
        <f>SUM(tblPromoExpenses[Option 1])</f>
        <v>0</v>
      </c>
      <c r="E61" s="299">
        <f>SUM(tblPromoExpenses[Option 2])</f>
        <v>0</v>
      </c>
      <c r="F61" s="299">
        <f>SUM(tblPromoExpenses[Option 3])</f>
        <v>0</v>
      </c>
      <c r="G61" s="299">
        <f>SUM(tblPromoExpenses[Option 4])</f>
        <v>0</v>
      </c>
      <c r="H61" s="299">
        <f>SUM(tblPromoExpenses[Option 5])</f>
        <v>0</v>
      </c>
    </row>
    <row r="62" spans="2:8" ht="21" customHeight="1" x14ac:dyDescent="0.4">
      <c r="B62" s="449"/>
      <c r="C62" s="449"/>
      <c r="D62" s="449"/>
    </row>
    <row r="63" spans="2:8" ht="21" customHeight="1" x14ac:dyDescent="0.4">
      <c r="B63" s="176" t="s">
        <v>38</v>
      </c>
      <c r="C63" s="173" t="s">
        <v>42</v>
      </c>
      <c r="D63" s="177" t="s">
        <v>427</v>
      </c>
      <c r="E63" s="177" t="s">
        <v>428</v>
      </c>
      <c r="F63" s="177" t="s">
        <v>429</v>
      </c>
      <c r="G63" s="177" t="s">
        <v>430</v>
      </c>
      <c r="H63" s="177" t="s">
        <v>431</v>
      </c>
    </row>
    <row r="64" spans="2:8" ht="21" customHeight="1" x14ac:dyDescent="0.4">
      <c r="B64" s="178" t="s">
        <v>421</v>
      </c>
      <c r="D64" s="179"/>
      <c r="E64" s="179"/>
      <c r="F64" s="179"/>
      <c r="G64" s="179"/>
      <c r="H64" s="179"/>
    </row>
    <row r="65" spans="1:8" ht="21" customHeight="1" x14ac:dyDescent="0.4">
      <c r="B65" s="178" t="s">
        <v>119</v>
      </c>
      <c r="D65" s="179"/>
      <c r="E65" s="179"/>
      <c r="F65" s="179"/>
      <c r="G65" s="179"/>
      <c r="H65" s="179"/>
    </row>
    <row r="66" spans="1:8" ht="21" customHeight="1" x14ac:dyDescent="0.4">
      <c r="B66" s="178" t="s">
        <v>31</v>
      </c>
      <c r="D66" s="179">
        <f>SUM(tblOtherExpenses[Option 1])</f>
        <v>0</v>
      </c>
      <c r="E66" s="179"/>
      <c r="F66" s="179"/>
      <c r="G66" s="179"/>
      <c r="H66" s="179"/>
    </row>
    <row r="67" spans="1:8" ht="21" customHeight="1" x14ac:dyDescent="0.4">
      <c r="B67" s="449"/>
      <c r="C67" s="449"/>
      <c r="D67" s="449"/>
    </row>
    <row r="68" spans="1:8" ht="21" customHeight="1" x14ac:dyDescent="0.4">
      <c r="B68" s="180" t="s">
        <v>14</v>
      </c>
      <c r="C68" s="181"/>
      <c r="D68" s="182">
        <f>tblImprovements[[#Totals],[Option 1]]*0.1</f>
        <v>0</v>
      </c>
      <c r="E68" s="182"/>
      <c r="F68" s="182"/>
      <c r="G68" s="182"/>
      <c r="H68" s="182"/>
    </row>
    <row r="69" spans="1:8" ht="21" customHeight="1" x14ac:dyDescent="0.4">
      <c r="B69" s="449"/>
      <c r="C69" s="449"/>
      <c r="D69" s="449"/>
    </row>
    <row r="70" spans="1:8" ht="21" customHeight="1" x14ac:dyDescent="0.4">
      <c r="B70" s="180" t="s">
        <v>15</v>
      </c>
      <c r="C70" s="181"/>
      <c r="D70" s="182">
        <v>0</v>
      </c>
      <c r="E70" s="182"/>
      <c r="F70" s="182"/>
      <c r="G70" s="182"/>
      <c r="H70" s="182"/>
    </row>
    <row r="71" spans="1:8" ht="21" customHeight="1" x14ac:dyDescent="0.4">
      <c r="B71" s="449"/>
      <c r="C71" s="449"/>
      <c r="D71" s="449"/>
    </row>
    <row r="72" spans="1:8" ht="21" customHeight="1" x14ac:dyDescent="0.4">
      <c r="B72" s="180" t="s">
        <v>246</v>
      </c>
      <c r="C72" s="181"/>
      <c r="D72" s="182">
        <f>tblWorkingCapital[[#All],[  ]]+tblContingencies[[#All],[  ]]+tblPromoExpenses[[#Totals],[Option 1]]+tblAdminExpenses[[#Totals],[Option 1]]+tblImprovements[[#Totals],[Option 1]]+tblRealEstate[[#Totals],[Option 1]]+tblOpeningInventory[[#Totals],[Option 1]]+tblCapital[[#Totals],[Option 1]]+tblOtherExpenses[[#Totals],[Option 1]]</f>
        <v>0</v>
      </c>
    </row>
    <row r="73" spans="1:8" ht="21" hidden="1" customHeight="1" x14ac:dyDescent="0.4"/>
    <row r="74" spans="1:8" ht="21" hidden="1" customHeight="1" x14ac:dyDescent="0.4"/>
    <row r="75" spans="1:8" ht="21" hidden="1" customHeight="1" x14ac:dyDescent="0.4"/>
    <row r="76" spans="1:8" ht="21" hidden="1" customHeight="1" x14ac:dyDescent="0.4"/>
    <row r="77" spans="1:8" ht="21" hidden="1" customHeight="1" x14ac:dyDescent="0.4"/>
    <row r="78" spans="1:8" ht="21" hidden="1" customHeight="1" x14ac:dyDescent="0.4">
      <c r="A78" s="183"/>
    </row>
    <row r="79" spans="1:8" ht="21" hidden="1" customHeight="1" x14ac:dyDescent="0.4"/>
    <row r="80" spans="1:8" ht="21" customHeight="1" x14ac:dyDescent="0.4">
      <c r="B80" s="183"/>
      <c r="C80" s="183"/>
      <c r="D80" s="183"/>
    </row>
    <row r="81" spans="2:8" ht="21" customHeight="1" x14ac:dyDescent="0.4">
      <c r="B81" s="175" t="s">
        <v>0</v>
      </c>
    </row>
    <row r="82" spans="2:8" ht="21" customHeight="1" x14ac:dyDescent="0.4">
      <c r="B82" s="176" t="s">
        <v>289</v>
      </c>
      <c r="C82" s="173" t="s">
        <v>42</v>
      </c>
      <c r="D82" s="177" t="s">
        <v>427</v>
      </c>
      <c r="E82" s="177" t="s">
        <v>428</v>
      </c>
      <c r="F82" s="177" t="s">
        <v>429</v>
      </c>
      <c r="G82" s="177" t="s">
        <v>430</v>
      </c>
      <c r="H82" s="177" t="s">
        <v>431</v>
      </c>
    </row>
    <row r="83" spans="2:8" ht="21" customHeight="1" x14ac:dyDescent="0.4">
      <c r="B83" s="178" t="s">
        <v>443</v>
      </c>
      <c r="D83" s="184"/>
      <c r="E83" s="179"/>
      <c r="F83" s="179"/>
      <c r="G83" s="179"/>
      <c r="H83" s="179"/>
    </row>
    <row r="84" spans="2:8" ht="21" customHeight="1" x14ac:dyDescent="0.4">
      <c r="B84" s="178" t="s">
        <v>1</v>
      </c>
      <c r="D84" s="179"/>
      <c r="E84" s="179"/>
      <c r="F84" s="179"/>
      <c r="G84" s="179"/>
      <c r="H84" s="179"/>
    </row>
    <row r="85" spans="2:8" ht="21" customHeight="1" x14ac:dyDescent="0.4">
      <c r="B85" s="178" t="s">
        <v>1</v>
      </c>
      <c r="D85" s="179"/>
      <c r="E85" s="179"/>
      <c r="F85" s="179"/>
      <c r="G85" s="179"/>
      <c r="H85" s="179"/>
    </row>
    <row r="86" spans="2:8" ht="21" customHeight="1" x14ac:dyDescent="0.4">
      <c r="B86" s="178" t="s">
        <v>1</v>
      </c>
      <c r="D86" s="179"/>
      <c r="E86" s="179"/>
      <c r="F86" s="179"/>
      <c r="G86" s="179"/>
      <c r="H86" s="179"/>
    </row>
    <row r="87" spans="2:8" ht="21" customHeight="1" x14ac:dyDescent="0.4">
      <c r="B87" s="178" t="s">
        <v>31</v>
      </c>
      <c r="D87" s="179">
        <f>SUBTOTAL(109,tblOwnersInvestments[Option 1])</f>
        <v>0</v>
      </c>
      <c r="E87" s="179"/>
      <c r="F87" s="179"/>
      <c r="G87" s="179"/>
      <c r="H87" s="179"/>
    </row>
    <row r="88" spans="2:8" ht="21" customHeight="1" x14ac:dyDescent="0.4">
      <c r="B88" s="449"/>
      <c r="C88" s="449"/>
      <c r="D88" s="449"/>
    </row>
    <row r="89" spans="2:8" ht="21" customHeight="1" x14ac:dyDescent="0.4">
      <c r="B89" s="176" t="s">
        <v>50</v>
      </c>
      <c r="C89" s="173" t="s">
        <v>42</v>
      </c>
      <c r="D89" s="177" t="s">
        <v>427</v>
      </c>
      <c r="E89" s="177" t="s">
        <v>428</v>
      </c>
      <c r="F89" s="177" t="s">
        <v>429</v>
      </c>
      <c r="G89" s="177" t="s">
        <v>430</v>
      </c>
      <c r="H89" s="177" t="s">
        <v>431</v>
      </c>
    </row>
    <row r="90" spans="2:8" ht="21" customHeight="1" x14ac:dyDescent="0.4">
      <c r="B90" s="178" t="s">
        <v>2</v>
      </c>
      <c r="C90" s="185" t="s">
        <v>444</v>
      </c>
      <c r="D90" s="184"/>
      <c r="E90" s="179"/>
      <c r="F90" s="179"/>
      <c r="G90" s="179"/>
      <c r="H90" s="179"/>
    </row>
    <row r="91" spans="2:8" ht="21" customHeight="1" x14ac:dyDescent="0.4">
      <c r="B91" s="178" t="s">
        <v>3</v>
      </c>
      <c r="D91" s="179"/>
      <c r="E91" s="179"/>
      <c r="F91" s="179"/>
      <c r="G91" s="179"/>
      <c r="H91" s="179"/>
    </row>
    <row r="92" spans="2:8" ht="21" customHeight="1" x14ac:dyDescent="0.4">
      <c r="B92" s="178" t="s">
        <v>51</v>
      </c>
      <c r="D92" s="179"/>
      <c r="E92" s="179"/>
      <c r="F92" s="179"/>
      <c r="G92" s="179"/>
      <c r="H92" s="179"/>
    </row>
    <row r="93" spans="2:8" ht="21" customHeight="1" x14ac:dyDescent="0.4">
      <c r="B93" s="178" t="s">
        <v>52</v>
      </c>
      <c r="D93" s="179"/>
      <c r="E93" s="179"/>
      <c r="F93" s="179"/>
      <c r="G93" s="179"/>
      <c r="H93" s="179"/>
    </row>
    <row r="94" spans="2:8" ht="21" customHeight="1" x14ac:dyDescent="0.4">
      <c r="B94" s="178" t="s">
        <v>31</v>
      </c>
      <c r="D94" s="179">
        <f>SUBTOTAL(109,tblBankLoans[Option 1])</f>
        <v>0</v>
      </c>
      <c r="E94" s="179"/>
      <c r="F94" s="179"/>
      <c r="G94" s="179"/>
      <c r="H94" s="179"/>
    </row>
    <row r="95" spans="2:8" ht="21" customHeight="1" x14ac:dyDescent="0.4">
      <c r="B95" s="449"/>
      <c r="C95" s="449"/>
      <c r="D95" s="449"/>
      <c r="E95" s="296"/>
      <c r="F95" s="296"/>
      <c r="G95" s="296"/>
      <c r="H95" s="296"/>
    </row>
    <row r="96" spans="2:8" ht="38" customHeight="1" x14ac:dyDescent="0.4">
      <c r="B96" s="176" t="s">
        <v>241</v>
      </c>
      <c r="C96" s="173" t="s">
        <v>42</v>
      </c>
      <c r="D96" s="177" t="s">
        <v>427</v>
      </c>
      <c r="E96" s="421" t="s">
        <v>414</v>
      </c>
      <c r="F96" s="421" t="s">
        <v>415</v>
      </c>
      <c r="G96" s="421" t="s">
        <v>416</v>
      </c>
      <c r="H96" s="421" t="s">
        <v>417</v>
      </c>
    </row>
    <row r="97" spans="1:8" ht="21" customHeight="1" x14ac:dyDescent="0.4">
      <c r="B97" s="186" t="s">
        <v>278</v>
      </c>
      <c r="C97" s="173" t="s">
        <v>298</v>
      </c>
      <c r="D97" s="179"/>
      <c r="E97" s="179">
        <f>(tblOtherLoans[[#This Row],[Option 1]]/0.6)-D97</f>
        <v>0</v>
      </c>
      <c r="F97" s="179">
        <f>D100</f>
        <v>0</v>
      </c>
      <c r="G97" s="179">
        <f>tblOwnersInvestments[[#Totals],[Option 1]]+tblBankLoans[[#Totals],[Option 1]]</f>
        <v>0</v>
      </c>
      <c r="H97" s="179">
        <f>(tblOwnersInvestments[[#Totals],[Option 1]]+tblBankLoans[[#Totals],[Option 1]]+D100+D102+D104)-E97</f>
        <v>0</v>
      </c>
    </row>
    <row r="98" spans="1:8" ht="21" customHeight="1" x14ac:dyDescent="0.4">
      <c r="B98" s="186" t="s">
        <v>411</v>
      </c>
      <c r="C98" s="173" t="s">
        <v>298</v>
      </c>
      <c r="D98" s="179"/>
      <c r="E98" s="179">
        <f>(tblOtherLoans[[#This Row],[Option 1]]/0.6)-D98</f>
        <v>0</v>
      </c>
      <c r="F98" s="179"/>
      <c r="G98" s="179"/>
      <c r="H98" s="179">
        <f>H97-tblOtherLoans[[#This Row],[Match Required]]</f>
        <v>0</v>
      </c>
    </row>
    <row r="99" spans="1:8" ht="21" customHeight="1" x14ac:dyDescent="0.4">
      <c r="B99" s="186" t="s">
        <v>412</v>
      </c>
      <c r="C99" s="173" t="s">
        <v>413</v>
      </c>
      <c r="D99" s="179"/>
      <c r="E99" s="179">
        <f>(tblOtherLoans[[#This Row],[Option 1]]/0.6)-D99</f>
        <v>0</v>
      </c>
      <c r="F99" s="179"/>
      <c r="G99" s="179"/>
      <c r="H99" s="179"/>
    </row>
    <row r="100" spans="1:8" ht="21" customHeight="1" x14ac:dyDescent="0.4">
      <c r="B100" s="186" t="s">
        <v>279</v>
      </c>
      <c r="C100" s="173" t="s">
        <v>418</v>
      </c>
      <c r="D100" s="179"/>
      <c r="E100" s="179"/>
      <c r="F100" s="179"/>
      <c r="G100" s="179"/>
      <c r="H100" s="179"/>
    </row>
    <row r="101" spans="1:8" ht="21" customHeight="1" x14ac:dyDescent="0.4">
      <c r="B101" s="186" t="s">
        <v>280</v>
      </c>
      <c r="C101" s="173" t="s">
        <v>281</v>
      </c>
      <c r="D101" s="179"/>
      <c r="E101" s="179"/>
      <c r="F101" s="179"/>
      <c r="G101" s="179"/>
      <c r="H101" s="179"/>
    </row>
    <row r="102" spans="1:8" ht="21" customHeight="1" x14ac:dyDescent="0.4">
      <c r="B102" s="186" t="s">
        <v>282</v>
      </c>
      <c r="C102" s="173" t="s">
        <v>247</v>
      </c>
      <c r="D102" s="179"/>
      <c r="E102" s="179"/>
      <c r="F102" s="179"/>
      <c r="G102" s="179"/>
      <c r="H102" s="179"/>
    </row>
    <row r="103" spans="1:8" ht="21" customHeight="1" x14ac:dyDescent="0.4">
      <c r="B103" s="186" t="s">
        <v>283</v>
      </c>
      <c r="C103" s="173" t="s">
        <v>284</v>
      </c>
      <c r="D103" s="179"/>
      <c r="E103" s="179"/>
      <c r="F103" s="179"/>
      <c r="G103" s="179"/>
      <c r="H103" s="179"/>
    </row>
    <row r="104" spans="1:8" ht="21" customHeight="1" x14ac:dyDescent="0.4">
      <c r="B104" s="186" t="s">
        <v>285</v>
      </c>
      <c r="C104" s="173" t="s">
        <v>286</v>
      </c>
      <c r="D104" s="179"/>
      <c r="E104" s="179"/>
      <c r="F104" s="179"/>
      <c r="G104" s="179"/>
      <c r="H104" s="179"/>
    </row>
    <row r="105" spans="1:8" ht="21" customHeight="1" x14ac:dyDescent="0.4">
      <c r="B105" s="186" t="s">
        <v>287</v>
      </c>
      <c r="C105" s="173" t="s">
        <v>288</v>
      </c>
      <c r="D105" s="179"/>
      <c r="E105" s="179"/>
      <c r="F105" s="179"/>
      <c r="G105" s="179"/>
      <c r="H105" s="179"/>
    </row>
    <row r="106" spans="1:8" ht="21" hidden="1" customHeight="1" x14ac:dyDescent="0.4">
      <c r="B106" s="187"/>
      <c r="D106" s="179">
        <f>D83*0.6</f>
        <v>0</v>
      </c>
      <c r="E106" s="179"/>
      <c r="F106" s="179"/>
      <c r="G106" s="179"/>
      <c r="H106" s="179"/>
    </row>
    <row r="107" spans="1:8" ht="21" hidden="1" customHeight="1" x14ac:dyDescent="0.4">
      <c r="B107" s="178" t="s">
        <v>31</v>
      </c>
      <c r="D107" s="179">
        <f>SUBTOTAL(109,tblOtherLoans[Option 1])</f>
        <v>0</v>
      </c>
      <c r="E107" s="179"/>
      <c r="F107" s="179"/>
      <c r="G107" s="179"/>
      <c r="H107" s="179"/>
    </row>
    <row r="108" spans="1:8" ht="21" hidden="1" customHeight="1" x14ac:dyDescent="0.4">
      <c r="B108" s="449"/>
      <c r="C108" s="449"/>
      <c r="D108" s="449"/>
    </row>
    <row r="109" spans="1:8" ht="21" hidden="1" customHeight="1" x14ac:dyDescent="0.4"/>
    <row r="110" spans="1:8" ht="21" customHeight="1" x14ac:dyDescent="0.4">
      <c r="A110" s="188"/>
    </row>
    <row r="112" spans="1:8" ht="21" customHeight="1" x14ac:dyDescent="0.4">
      <c r="B112" s="189" t="s">
        <v>16</v>
      </c>
      <c r="C112" s="188"/>
      <c r="D112" s="188"/>
    </row>
    <row r="113" spans="2:8" ht="21" customHeight="1" x14ac:dyDescent="0.4">
      <c r="B113" s="176" t="s">
        <v>32</v>
      </c>
      <c r="C113" s="173" t="s">
        <v>42</v>
      </c>
      <c r="D113" s="177" t="s">
        <v>427</v>
      </c>
      <c r="E113" s="177" t="s">
        <v>428</v>
      </c>
      <c r="F113" s="177" t="s">
        <v>429</v>
      </c>
      <c r="G113" s="177" t="s">
        <v>430</v>
      </c>
      <c r="H113" s="177" t="s">
        <v>431</v>
      </c>
    </row>
    <row r="114" spans="2:8" ht="21" customHeight="1" x14ac:dyDescent="0.4">
      <c r="B114" s="178" t="s">
        <v>17</v>
      </c>
      <c r="D114" s="179">
        <f>tblOwnersInvestments[[#Totals],[Option 1]]</f>
        <v>0</v>
      </c>
      <c r="E114" s="179"/>
      <c r="F114" s="179"/>
      <c r="G114" s="179"/>
      <c r="H114" s="179"/>
    </row>
    <row r="115" spans="2:8" ht="21" customHeight="1" x14ac:dyDescent="0.4">
      <c r="B115" s="178" t="s">
        <v>18</v>
      </c>
      <c r="D115" s="179">
        <f>tblBankLoans[[#Totals],[Option 1]]</f>
        <v>0</v>
      </c>
      <c r="E115" s="179"/>
      <c r="F115" s="179"/>
      <c r="G115" s="179"/>
      <c r="H115" s="179"/>
    </row>
    <row r="116" spans="2:8" ht="21" customHeight="1" x14ac:dyDescent="0.4">
      <c r="B116" s="178" t="s">
        <v>248</v>
      </c>
      <c r="D116" s="179">
        <f>tblOtherLoans[[#Totals],[Option 1]]</f>
        <v>0</v>
      </c>
      <c r="E116" s="179"/>
      <c r="F116" s="179"/>
      <c r="G116" s="179"/>
      <c r="H116" s="179"/>
    </row>
    <row r="117" spans="2:8" ht="21" customHeight="1" x14ac:dyDescent="0.4">
      <c r="B117" s="178" t="s">
        <v>31</v>
      </c>
      <c r="D117" s="179">
        <f>SUBTOTAL(109,tblCapitalSources[Option 1])</f>
        <v>0</v>
      </c>
      <c r="E117" s="179"/>
      <c r="F117" s="179"/>
      <c r="G117" s="179"/>
      <c r="H117" s="179"/>
    </row>
    <row r="118" spans="2:8" ht="21" customHeight="1" x14ac:dyDescent="0.4">
      <c r="B118" s="449"/>
      <c r="C118" s="449"/>
      <c r="D118" s="449"/>
    </row>
    <row r="119" spans="2:8" ht="21" customHeight="1" x14ac:dyDescent="0.4">
      <c r="B119" s="176" t="s">
        <v>4</v>
      </c>
      <c r="C119" s="173" t="s">
        <v>42</v>
      </c>
      <c r="D119" s="177" t="s">
        <v>427</v>
      </c>
      <c r="E119" s="177" t="s">
        <v>428</v>
      </c>
      <c r="F119" s="177" t="s">
        <v>429</v>
      </c>
      <c r="G119" s="177" t="s">
        <v>430</v>
      </c>
      <c r="H119" s="177" t="s">
        <v>431</v>
      </c>
    </row>
    <row r="120" spans="2:8" ht="21" customHeight="1" x14ac:dyDescent="0.4">
      <c r="B120" s="178" t="s">
        <v>216</v>
      </c>
      <c r="D120" s="179">
        <f>tblRealEstate[[#Totals],[Option 1]]</f>
        <v>0</v>
      </c>
      <c r="E120" s="179"/>
      <c r="F120" s="179"/>
      <c r="G120" s="179"/>
      <c r="H120" s="179"/>
    </row>
    <row r="121" spans="2:8" ht="21" customHeight="1" x14ac:dyDescent="0.4">
      <c r="B121" s="178" t="s">
        <v>215</v>
      </c>
      <c r="D121" s="179">
        <f>tblImprovements[[#Totals],[Option 1]]</f>
        <v>0</v>
      </c>
      <c r="E121" s="179"/>
      <c r="F121" s="179"/>
      <c r="G121" s="179"/>
      <c r="H121" s="179"/>
    </row>
    <row r="122" spans="2:8" ht="21" customHeight="1" x14ac:dyDescent="0.4">
      <c r="B122" s="178" t="s">
        <v>19</v>
      </c>
      <c r="D122" s="179">
        <f>tblCapital[[#Totals],[Option 1]]</f>
        <v>0</v>
      </c>
      <c r="E122" s="179"/>
      <c r="F122" s="179"/>
      <c r="G122" s="179"/>
      <c r="H122" s="179"/>
    </row>
    <row r="123" spans="2:8" ht="21" customHeight="1" x14ac:dyDescent="0.4">
      <c r="B123" s="178" t="s">
        <v>20</v>
      </c>
      <c r="D123" s="179">
        <f>tblAdminExpenses[[#Totals],[Option 1]]</f>
        <v>0</v>
      </c>
      <c r="E123" s="179"/>
      <c r="F123" s="179"/>
      <c r="G123" s="179"/>
      <c r="H123" s="179"/>
    </row>
    <row r="124" spans="2:8" ht="21" customHeight="1" x14ac:dyDescent="0.4">
      <c r="B124" s="178" t="s">
        <v>21</v>
      </c>
      <c r="D124" s="179">
        <f>tblOpeningInventory[[#Totals],[Option 1]]</f>
        <v>0</v>
      </c>
      <c r="E124" s="179"/>
      <c r="F124" s="179"/>
      <c r="G124" s="179"/>
      <c r="H124" s="179"/>
    </row>
    <row r="125" spans="2:8" ht="21" customHeight="1" x14ac:dyDescent="0.4">
      <c r="B125" s="178" t="s">
        <v>22</v>
      </c>
      <c r="D125" s="179">
        <f>tblPromoExpenses[[#Totals],[Option 1]]</f>
        <v>0</v>
      </c>
      <c r="E125" s="179"/>
      <c r="F125" s="179"/>
      <c r="G125" s="179"/>
      <c r="H125" s="179"/>
    </row>
    <row r="126" spans="2:8" ht="21" customHeight="1" x14ac:dyDescent="0.4">
      <c r="B126" s="178" t="s">
        <v>23</v>
      </c>
      <c r="D126" s="179">
        <f>tblOtherExpenses[[#Totals],[Option 1]]</f>
        <v>0</v>
      </c>
      <c r="E126" s="179"/>
      <c r="F126" s="179"/>
      <c r="G126" s="179"/>
      <c r="H126" s="179"/>
    </row>
    <row r="127" spans="2:8" ht="21" customHeight="1" x14ac:dyDescent="0.4">
      <c r="B127" s="178" t="s">
        <v>24</v>
      </c>
      <c r="D127" s="179">
        <f>tblContingencies[[#All],[  ]]</f>
        <v>0</v>
      </c>
      <c r="E127" s="179"/>
      <c r="F127" s="179"/>
      <c r="G127" s="179"/>
      <c r="H127" s="179"/>
    </row>
    <row r="128" spans="2:8" ht="21" customHeight="1" x14ac:dyDescent="0.4">
      <c r="B128" s="178" t="s">
        <v>25</v>
      </c>
      <c r="D128" s="179">
        <f>tblWorkingCapital[[#All],[  ]]</f>
        <v>0</v>
      </c>
      <c r="E128" s="179"/>
      <c r="F128" s="179"/>
      <c r="G128" s="179"/>
      <c r="H128" s="179"/>
    </row>
    <row r="129" spans="2:8" ht="21" customHeight="1" x14ac:dyDescent="0.4">
      <c r="B129" s="178" t="s">
        <v>31</v>
      </c>
      <c r="D129" s="179">
        <f>SUM(tblStartupExpenses[Option 1])</f>
        <v>0</v>
      </c>
      <c r="E129" s="179"/>
      <c r="F129" s="179"/>
      <c r="G129" s="179"/>
      <c r="H129" s="179"/>
    </row>
    <row r="130" spans="2:8" ht="21" customHeight="1" x14ac:dyDescent="0.4">
      <c r="B130" s="449"/>
      <c r="C130" s="449"/>
      <c r="D130" s="449"/>
    </row>
    <row r="131" spans="2:8" ht="21" customHeight="1" x14ac:dyDescent="0.4">
      <c r="B131" s="175" t="s">
        <v>26</v>
      </c>
    </row>
    <row r="132" spans="2:8" ht="21" customHeight="1" x14ac:dyDescent="0.4">
      <c r="B132" s="176" t="s">
        <v>39</v>
      </c>
      <c r="C132" s="190" t="s">
        <v>44</v>
      </c>
      <c r="D132" s="177" t="s">
        <v>45</v>
      </c>
    </row>
    <row r="133" spans="2:8" ht="21" customHeight="1" x14ac:dyDescent="0.4">
      <c r="B133" s="178" t="s">
        <v>445</v>
      </c>
      <c r="D133" s="179">
        <v>0</v>
      </c>
    </row>
    <row r="134" spans="2:8" ht="21" customHeight="1" x14ac:dyDescent="0.4">
      <c r="B134" s="178" t="s">
        <v>208</v>
      </c>
      <c r="D134" s="179">
        <v>0</v>
      </c>
    </row>
    <row r="135" spans="2:8" ht="21" customHeight="1" x14ac:dyDescent="0.4">
      <c r="B135" s="178" t="s">
        <v>6</v>
      </c>
      <c r="D135" s="179">
        <v>0</v>
      </c>
    </row>
    <row r="136" spans="2:8" ht="21" customHeight="1" x14ac:dyDescent="0.4">
      <c r="B136" s="178"/>
      <c r="D136" s="179">
        <v>0</v>
      </c>
    </row>
    <row r="137" spans="2:8" ht="21" customHeight="1" x14ac:dyDescent="0.4">
      <c r="B137" s="186"/>
      <c r="D137" s="179">
        <f>tblCapital[[#Totals],[Option 1]]</f>
        <v>0</v>
      </c>
    </row>
    <row r="138" spans="2:8" ht="21" customHeight="1" x14ac:dyDescent="0.4">
      <c r="B138" s="186" t="s">
        <v>31</v>
      </c>
      <c r="D138" s="299">
        <f>SUBTOTAL(109,tblCollateral[VALUE])</f>
        <v>0</v>
      </c>
    </row>
    <row r="139" spans="2:8" ht="21" customHeight="1" x14ac:dyDescent="0.4">
      <c r="B139" s="449"/>
      <c r="C139" s="449"/>
      <c r="D139" s="449"/>
    </row>
    <row r="140" spans="2:8" ht="21" customHeight="1" x14ac:dyDescent="0.4">
      <c r="B140" s="176" t="s">
        <v>40</v>
      </c>
      <c r="C140" s="173" t="s">
        <v>42</v>
      </c>
      <c r="D140" s="191" t="s">
        <v>43</v>
      </c>
    </row>
    <row r="141" spans="2:8" ht="21" customHeight="1" x14ac:dyDescent="0.4">
      <c r="B141" s="178" t="s">
        <v>272</v>
      </c>
      <c r="D141" s="192">
        <v>1</v>
      </c>
    </row>
    <row r="142" spans="2:8" ht="21" customHeight="1" x14ac:dyDescent="0.4">
      <c r="B142" s="178" t="s">
        <v>27</v>
      </c>
    </row>
    <row r="143" spans="2:8" ht="21" customHeight="1" x14ac:dyDescent="0.4">
      <c r="B143" s="178" t="s">
        <v>27</v>
      </c>
    </row>
    <row r="144" spans="2:8" ht="21" customHeight="1" x14ac:dyDescent="0.4">
      <c r="B144" s="449"/>
      <c r="C144" s="449"/>
      <c r="D144" s="449"/>
    </row>
    <row r="145" spans="2:4" ht="21" customHeight="1" x14ac:dyDescent="0.4">
      <c r="B145" s="176" t="s">
        <v>41</v>
      </c>
      <c r="C145" s="173" t="s">
        <v>42</v>
      </c>
      <c r="D145" s="191" t="s">
        <v>43</v>
      </c>
    </row>
    <row r="146" spans="2:4" ht="21" customHeight="1" x14ac:dyDescent="0.4">
      <c r="B146" s="178" t="s">
        <v>28</v>
      </c>
    </row>
    <row r="147" spans="2:4" ht="21" customHeight="1" x14ac:dyDescent="0.4">
      <c r="B147" s="178" t="s">
        <v>29</v>
      </c>
    </row>
    <row r="148" spans="2:4" ht="21" customHeight="1" x14ac:dyDescent="0.4">
      <c r="B148" s="178" t="s">
        <v>30</v>
      </c>
    </row>
  </sheetData>
  <mergeCells count="16">
    <mergeCell ref="B62:D62"/>
    <mergeCell ref="B67:D67"/>
    <mergeCell ref="B88:D88"/>
    <mergeCell ref="B144:D144"/>
    <mergeCell ref="B18:D18"/>
    <mergeCell ref="B26:D26"/>
    <mergeCell ref="B37:D37"/>
    <mergeCell ref="B46:D46"/>
    <mergeCell ref="B54:D54"/>
    <mergeCell ref="B95:D95"/>
    <mergeCell ref="B108:D108"/>
    <mergeCell ref="B118:D118"/>
    <mergeCell ref="B130:D130"/>
    <mergeCell ref="B139:D139"/>
    <mergeCell ref="B69:D69"/>
    <mergeCell ref="B71:D71"/>
  </mergeCells>
  <phoneticPr fontId="65" type="noConversion"/>
  <printOptions horizontalCentered="1"/>
  <pageMargins left="0.25" right="0.25" top="0.75" bottom="0.75" header="0.3" footer="0.3"/>
  <pageSetup scale="93" fitToHeight="0" orientation="portrait" r:id="rId1"/>
  <headerFooter>
    <oddFooter>Page &amp;P of &amp;N</oddFooter>
  </headerFooter>
  <drawing r:id="rId2"/>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148B-FF93-E047-9490-00BF43AC89BF}">
  <dimension ref="B1:F9"/>
  <sheetViews>
    <sheetView workbookViewId="0">
      <selection activeCell="B1" sqref="B1:F9"/>
    </sheetView>
  </sheetViews>
  <sheetFormatPr defaultColWidth="10.85546875" defaultRowHeight="13.15" x14ac:dyDescent="0.4"/>
  <cols>
    <col min="2" max="2" width="18.2109375" customWidth="1"/>
    <col min="3" max="3" width="16.2109375" customWidth="1"/>
    <col min="4" max="4" width="14.42578125" customWidth="1"/>
    <col min="5" max="5" width="13.2109375" customWidth="1"/>
    <col min="6" max="6" width="18.42578125" customWidth="1"/>
  </cols>
  <sheetData>
    <row r="1" spans="2:6" ht="37.15" x14ac:dyDescent="1.1000000000000001">
      <c r="B1" s="305" t="s">
        <v>356</v>
      </c>
      <c r="C1" s="245"/>
      <c r="D1" s="245"/>
      <c r="E1" s="245"/>
      <c r="F1" s="245"/>
    </row>
    <row r="2" spans="2:6" x14ac:dyDescent="0.4">
      <c r="B2" s="470" t="s">
        <v>357</v>
      </c>
      <c r="C2" s="470"/>
      <c r="D2" s="470"/>
      <c r="E2" s="470"/>
      <c r="F2" s="470"/>
    </row>
    <row r="3" spans="2:6" ht="31.15" thickBot="1" x14ac:dyDescent="0.45">
      <c r="B3" s="1" t="s">
        <v>358</v>
      </c>
      <c r="C3" s="245"/>
      <c r="D3" s="245"/>
      <c r="E3" s="245"/>
      <c r="F3" s="245"/>
    </row>
    <row r="4" spans="2:6" ht="49.05" customHeight="1" thickTop="1" x14ac:dyDescent="0.4">
      <c r="B4" s="306" t="s">
        <v>359</v>
      </c>
      <c r="C4" s="307" t="s">
        <v>360</v>
      </c>
      <c r="D4" s="307" t="s">
        <v>361</v>
      </c>
      <c r="E4" s="307" t="s">
        <v>362</v>
      </c>
      <c r="F4" s="307" t="s">
        <v>363</v>
      </c>
    </row>
    <row r="5" spans="2:6" ht="14.25" x14ac:dyDescent="0.4">
      <c r="B5" s="297" t="s">
        <v>364</v>
      </c>
      <c r="C5" s="308">
        <v>0</v>
      </c>
      <c r="D5" s="308">
        <v>15</v>
      </c>
      <c r="E5" s="308">
        <v>0</v>
      </c>
      <c r="F5" s="308">
        <v>24</v>
      </c>
    </row>
    <row r="6" spans="2:6" ht="14.25" x14ac:dyDescent="0.4">
      <c r="B6" s="297" t="s">
        <v>213</v>
      </c>
      <c r="C6" s="308">
        <v>1</v>
      </c>
      <c r="D6" s="308">
        <v>0</v>
      </c>
      <c r="E6" s="308">
        <v>0</v>
      </c>
      <c r="F6" s="308">
        <v>12</v>
      </c>
    </row>
    <row r="7" spans="2:6" ht="14.25" x14ac:dyDescent="0.4">
      <c r="B7" s="297" t="s">
        <v>365</v>
      </c>
      <c r="C7" s="308">
        <v>4</v>
      </c>
      <c r="D7" s="308">
        <v>0</v>
      </c>
      <c r="E7" s="308">
        <v>0</v>
      </c>
      <c r="F7" s="308">
        <v>4</v>
      </c>
    </row>
    <row r="8" spans="2:6" ht="14.25" x14ac:dyDescent="0.4">
      <c r="B8" s="297" t="s">
        <v>366</v>
      </c>
      <c r="C8" s="308">
        <v>0</v>
      </c>
      <c r="D8" s="308">
        <v>0</v>
      </c>
      <c r="E8" s="308">
        <v>1</v>
      </c>
      <c r="F8" s="308">
        <v>1</v>
      </c>
    </row>
    <row r="9" spans="2:6" x14ac:dyDescent="0.4">
      <c r="B9" s="245"/>
      <c r="C9" s="245"/>
      <c r="D9" s="245"/>
      <c r="E9" s="245"/>
      <c r="F9" s="245"/>
    </row>
  </sheetData>
  <mergeCells count="1">
    <mergeCell ref="B2:F2"/>
  </mergeCells>
  <dataValidations count="5">
    <dataValidation allowBlank="1" showInputMessage="1" showErrorMessage="1" prompt="Payment frequency is defined in this column" sqref="B4" xr:uid="{477975A7-083D-6E48-9945-E3E030023C87}"/>
    <dataValidation allowBlank="1" showInputMessage="1" showErrorMessage="1" prompt="Month interval is defined in this column" sqref="C4" xr:uid="{C9CEDD0B-02E4-6240-B80B-D262A2D0578D}"/>
    <dataValidation allowBlank="1" showInputMessage="1" showErrorMessage="1" prompt="Day interval is defined in this column" sqref="D4" xr:uid="{AEA2121B-0669-9F4C-B989-8A9D1527DD26}"/>
    <dataValidation allowBlank="1" showInputMessage="1" showErrorMessage="1" prompt="Year interval is defined in this column" sqref="E4" xr:uid="{40BD8DE2-8B07-564B-815C-40125D139909}"/>
    <dataValidation allowBlank="1" showInputMessage="1" showErrorMessage="1" prompt="Payments per year is defined in this column" sqref="F4" xr:uid="{0E9FA26A-FE63-774F-9405-801CEC68F22C}"/>
  </dataValidation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9"/>
  <sheetViews>
    <sheetView workbookViewId="0">
      <selection activeCell="C25" sqref="C25"/>
    </sheetView>
  </sheetViews>
  <sheetFormatPr defaultColWidth="9" defaultRowHeight="13.15" x14ac:dyDescent="0.4"/>
  <cols>
    <col min="1" max="1" width="2.5703125" customWidth="1"/>
    <col min="2" max="2" width="22" customWidth="1"/>
    <col min="3" max="3" width="17" customWidth="1"/>
    <col min="4" max="5" width="16.2109375" customWidth="1"/>
    <col min="6" max="6" width="14.2109375" customWidth="1"/>
    <col min="7" max="7" width="17.5703125" customWidth="1"/>
    <col min="8" max="8" width="18.78515625" customWidth="1"/>
  </cols>
  <sheetData>
    <row r="1" spans="1:7" ht="41.25" customHeight="1" x14ac:dyDescent="0.4">
      <c r="A1" s="8" t="s">
        <v>122</v>
      </c>
      <c r="E1" s="3"/>
    </row>
    <row r="2" spans="1:7" ht="21" customHeight="1" x14ac:dyDescent="0.4">
      <c r="A2" s="472" t="s">
        <v>47</v>
      </c>
      <c r="B2" s="472"/>
      <c r="C2" s="472"/>
      <c r="D2" s="472"/>
      <c r="E2" s="472"/>
      <c r="F2" s="472"/>
    </row>
    <row r="3" spans="1:7" ht="36.75" customHeight="1" x14ac:dyDescent="0.4">
      <c r="B3" s="9" t="s">
        <v>124</v>
      </c>
      <c r="C3" s="9" t="s">
        <v>127</v>
      </c>
      <c r="D3" s="81" t="s">
        <v>234</v>
      </c>
      <c r="E3" s="81" t="s">
        <v>129</v>
      </c>
      <c r="F3" s="80" t="s">
        <v>128</v>
      </c>
      <c r="G3" s="80" t="s">
        <v>235</v>
      </c>
    </row>
    <row r="4" spans="1:7" ht="21" customHeight="1" x14ac:dyDescent="0.4">
      <c r="B4" s="2" t="s">
        <v>123</v>
      </c>
      <c r="C4" s="79">
        <f>SUM(C5:C9)</f>
        <v>0</v>
      </c>
      <c r="D4" s="4"/>
      <c r="E4" s="79"/>
      <c r="F4" s="4"/>
    </row>
    <row r="5" spans="1:7" ht="21" customHeight="1" x14ac:dyDescent="0.4">
      <c r="B5" s="87" t="s">
        <v>232</v>
      </c>
      <c r="C5" s="79">
        <v>0</v>
      </c>
      <c r="D5" s="4">
        <v>0</v>
      </c>
      <c r="E5" s="79">
        <v>0</v>
      </c>
      <c r="F5" s="4">
        <v>0</v>
      </c>
      <c r="G5">
        <f>SUM(G6:G10)</f>
        <v>0</v>
      </c>
    </row>
    <row r="6" spans="1:7" ht="21" customHeight="1" x14ac:dyDescent="0.4">
      <c r="B6" s="91" t="s">
        <v>233</v>
      </c>
      <c r="C6" s="79">
        <v>0</v>
      </c>
      <c r="D6" s="4">
        <v>0</v>
      </c>
      <c r="E6" s="79">
        <v>0</v>
      </c>
      <c r="F6" s="4">
        <v>0</v>
      </c>
      <c r="G6">
        <f>SUM(G7:G11)</f>
        <v>0</v>
      </c>
    </row>
    <row r="7" spans="1:7" ht="21" customHeight="1" x14ac:dyDescent="0.4">
      <c r="B7" s="87" t="s">
        <v>233</v>
      </c>
      <c r="C7" s="79">
        <v>0</v>
      </c>
      <c r="D7" s="4">
        <v>0</v>
      </c>
      <c r="E7" s="79">
        <v>0</v>
      </c>
      <c r="F7" s="4">
        <v>0</v>
      </c>
      <c r="G7">
        <f>SUM(G8:G12)</f>
        <v>0</v>
      </c>
    </row>
    <row r="8" spans="1:7" ht="21" customHeight="1" x14ac:dyDescent="0.4">
      <c r="B8" s="91" t="s">
        <v>233</v>
      </c>
      <c r="C8" s="79">
        <v>0</v>
      </c>
      <c r="D8" s="4">
        <v>0</v>
      </c>
      <c r="E8" s="79">
        <v>0</v>
      </c>
      <c r="F8" s="4">
        <v>0</v>
      </c>
      <c r="G8">
        <f>SUM(G9:G13)</f>
        <v>0</v>
      </c>
    </row>
    <row r="9" spans="1:7" ht="21" customHeight="1" x14ac:dyDescent="0.4">
      <c r="B9" s="92" t="s">
        <v>233</v>
      </c>
      <c r="C9" s="97">
        <v>0</v>
      </c>
      <c r="D9" s="106">
        <v>0</v>
      </c>
      <c r="E9" s="97">
        <v>0</v>
      </c>
      <c r="F9" s="106">
        <v>0</v>
      </c>
      <c r="G9" s="107">
        <f>SUM(G10:G14)</f>
        <v>0</v>
      </c>
    </row>
    <row r="10" spans="1:7" ht="21" customHeight="1" x14ac:dyDescent="0.4">
      <c r="B10" s="2" t="s">
        <v>125</v>
      </c>
      <c r="C10" s="79">
        <v>0</v>
      </c>
      <c r="D10" s="4">
        <v>0</v>
      </c>
      <c r="E10" s="79">
        <v>0</v>
      </c>
      <c r="F10" s="4">
        <v>0</v>
      </c>
      <c r="G10">
        <v>0</v>
      </c>
    </row>
    <row r="11" spans="1:7" ht="21" customHeight="1" x14ac:dyDescent="0.4">
      <c r="B11" s="111" t="s">
        <v>126</v>
      </c>
      <c r="C11" s="112">
        <v>0</v>
      </c>
      <c r="D11" s="113">
        <v>0</v>
      </c>
      <c r="E11" s="112">
        <v>0</v>
      </c>
      <c r="F11" s="113">
        <v>0</v>
      </c>
      <c r="G11" s="104">
        <v>0</v>
      </c>
    </row>
    <row r="12" spans="1:7" ht="21" customHeight="1" x14ac:dyDescent="0.4">
      <c r="B12" s="2" t="s">
        <v>31</v>
      </c>
      <c r="C12" s="79">
        <f>C11+C10+C4</f>
        <v>0</v>
      </c>
      <c r="D12" s="4">
        <f>SUBTOTAL(109,tblRealEstate54[[ HOURLY WAGE RANGE]])</f>
        <v>0</v>
      </c>
      <c r="E12" s="79">
        <f>SUBTOTAL(109,tblRealEstate54[AVERAGE '# HOURS WORKED PER WEEK?])</f>
        <v>0</v>
      </c>
      <c r="F12" s="4">
        <f>SUBTOTAL(109,tblRealEstate54[ANNUAL SALARY])</f>
        <v>0</v>
      </c>
      <c r="G12" s="79">
        <f>G11+G10+G4</f>
        <v>0</v>
      </c>
    </row>
    <row r="13" spans="1:7" ht="21" customHeight="1" x14ac:dyDescent="0.4">
      <c r="B13" s="471"/>
      <c r="C13" s="471"/>
      <c r="D13" s="471"/>
      <c r="E13" s="82"/>
    </row>
    <row r="14" spans="1:7" s="108" customFormat="1" ht="43.5" customHeight="1" x14ac:dyDescent="0.4">
      <c r="B14" s="81" t="s">
        <v>237</v>
      </c>
      <c r="C14" s="81" t="s">
        <v>127</v>
      </c>
      <c r="D14" s="81" t="s">
        <v>236</v>
      </c>
      <c r="E14" s="81" t="s">
        <v>129</v>
      </c>
      <c r="F14" s="81" t="s">
        <v>128</v>
      </c>
      <c r="G14" s="81" t="s">
        <v>235</v>
      </c>
    </row>
    <row r="15" spans="1:7" ht="21" customHeight="1" x14ac:dyDescent="0.4">
      <c r="B15" s="84" t="s">
        <v>123</v>
      </c>
      <c r="C15" s="109">
        <v>0</v>
      </c>
      <c r="D15" s="110">
        <v>0</v>
      </c>
      <c r="E15" s="109">
        <v>0</v>
      </c>
      <c r="F15" s="110">
        <v>0</v>
      </c>
      <c r="G15" s="85">
        <f>tblImprovements55[[#This Row],[ANNUAL SALARY]]*tblImprovements55[[#This Row],[NUMBER OF JOBS]]</f>
        <v>0</v>
      </c>
    </row>
    <row r="16" spans="1:7" ht="21" customHeight="1" x14ac:dyDescent="0.4">
      <c r="B16" s="87" t="s">
        <v>232</v>
      </c>
      <c r="C16" s="79">
        <v>0</v>
      </c>
      <c r="D16" s="4">
        <v>0</v>
      </c>
      <c r="E16" s="79">
        <v>0</v>
      </c>
      <c r="F16" s="4">
        <v>0</v>
      </c>
      <c r="G16">
        <f>tblImprovements55[[#This Row],[ANNUAL SALARY]]*tblImprovements55[[#This Row],[NUMBER OF JOBS]]</f>
        <v>0</v>
      </c>
    </row>
    <row r="17" spans="1:8" ht="21" customHeight="1" x14ac:dyDescent="0.4">
      <c r="B17" s="91" t="s">
        <v>233</v>
      </c>
      <c r="C17" s="79">
        <v>0</v>
      </c>
      <c r="D17" s="4">
        <v>0</v>
      </c>
      <c r="E17" s="79">
        <v>0</v>
      </c>
      <c r="F17" s="4">
        <v>0</v>
      </c>
      <c r="G17">
        <f>tblImprovements55[[#This Row],[ANNUAL SALARY]]*tblImprovements55[[#This Row],[NUMBER OF JOBS]]</f>
        <v>0</v>
      </c>
    </row>
    <row r="18" spans="1:8" ht="21" customHeight="1" x14ac:dyDescent="0.4">
      <c r="B18" s="87" t="s">
        <v>233</v>
      </c>
      <c r="C18" s="79">
        <v>0</v>
      </c>
      <c r="D18" s="4">
        <v>0</v>
      </c>
      <c r="E18" s="79">
        <v>0</v>
      </c>
      <c r="F18" s="4">
        <v>0</v>
      </c>
      <c r="G18">
        <f>tblImprovements55[[#This Row],[ANNUAL SALARY]]*tblImprovements55[[#This Row],[NUMBER OF JOBS]]</f>
        <v>0</v>
      </c>
    </row>
    <row r="19" spans="1:8" ht="21" customHeight="1" x14ac:dyDescent="0.4">
      <c r="B19" s="91" t="s">
        <v>233</v>
      </c>
      <c r="C19" s="79">
        <v>0</v>
      </c>
      <c r="D19" s="4">
        <v>0</v>
      </c>
      <c r="E19" s="79">
        <v>0</v>
      </c>
      <c r="F19" s="4">
        <v>0</v>
      </c>
      <c r="G19">
        <f>tblImprovements55[[#This Row],[ANNUAL SALARY]]*tblImprovements55[[#This Row],[NUMBER OF JOBS]]</f>
        <v>0</v>
      </c>
    </row>
    <row r="20" spans="1:8" ht="21" customHeight="1" x14ac:dyDescent="0.4">
      <c r="B20" s="87" t="s">
        <v>233</v>
      </c>
      <c r="C20" s="114">
        <v>0</v>
      </c>
      <c r="D20" s="115">
        <v>0</v>
      </c>
      <c r="E20" s="114">
        <v>0</v>
      </c>
      <c r="F20" s="115">
        <v>0</v>
      </c>
      <c r="G20">
        <f>tblImprovements55[[#This Row],[ANNUAL SALARY]]*tblImprovements55[[#This Row],[NUMBER OF JOBS]]</f>
        <v>0</v>
      </c>
    </row>
    <row r="21" spans="1:8" ht="21" customHeight="1" x14ac:dyDescent="0.4">
      <c r="B21" s="111" t="s">
        <v>125</v>
      </c>
      <c r="C21" s="112">
        <v>0</v>
      </c>
      <c r="D21" s="113">
        <v>0</v>
      </c>
      <c r="E21" s="112">
        <v>0</v>
      </c>
      <c r="F21" s="113">
        <v>0</v>
      </c>
      <c r="G21" s="104">
        <f>tblImprovements55[[#This Row],[ANNUAL SALARY]]*tblImprovements55[[#This Row],[NUMBER OF JOBS]]</f>
        <v>0</v>
      </c>
    </row>
    <row r="22" spans="1:8" ht="21" customHeight="1" x14ac:dyDescent="0.4">
      <c r="B22" s="111" t="s">
        <v>126</v>
      </c>
      <c r="C22" s="112">
        <v>0</v>
      </c>
      <c r="D22" s="113">
        <v>0</v>
      </c>
      <c r="E22" s="112">
        <v>0</v>
      </c>
      <c r="F22" s="113">
        <v>0</v>
      </c>
      <c r="G22" s="104">
        <f>tblImprovements55[[#This Row],[ANNUAL SALARY]]*tblImprovements55[[#This Row],[NUMBER OF JOBS]]</f>
        <v>0</v>
      </c>
    </row>
    <row r="23" spans="1:8" ht="21" customHeight="1" x14ac:dyDescent="0.4">
      <c r="B23" s="2" t="s">
        <v>31</v>
      </c>
      <c r="C23" s="79">
        <f>SUBTOTAL(109,tblImprovements55[NUMBER OF JOBS])</f>
        <v>0</v>
      </c>
      <c r="D23" s="4">
        <f>SUBTOTAL(109,tblImprovements55[HOURLY WAGE RANGE])</f>
        <v>0</v>
      </c>
      <c r="E23" s="79">
        <f>SUBTOTAL(109,tblImprovements55[HOURLY WAGE RANGE])</f>
        <v>0</v>
      </c>
      <c r="F23" s="4">
        <f>SUBTOTAL(109,tblImprovements55[AVERAGE '# HOURS WORKED PER WEEK?])</f>
        <v>0</v>
      </c>
    </row>
    <row r="24" spans="1:8" ht="21" customHeight="1" x14ac:dyDescent="0.4">
      <c r="B24" s="471"/>
      <c r="C24" s="471"/>
      <c r="D24" s="471"/>
      <c r="E24" s="82"/>
    </row>
    <row r="25" spans="1:8" ht="43.5" customHeight="1" x14ac:dyDescent="0.4">
      <c r="A25" s="8" t="s">
        <v>218</v>
      </c>
      <c r="B25" s="9"/>
      <c r="D25" s="10"/>
      <c r="E25" s="10"/>
    </row>
    <row r="26" spans="1:8" ht="21" customHeight="1" x14ac:dyDescent="0.4">
      <c r="B26" s="84" t="s">
        <v>238</v>
      </c>
      <c r="C26" s="82" t="s">
        <v>219</v>
      </c>
      <c r="D26" s="82" t="s">
        <v>220</v>
      </c>
      <c r="E26" s="83" t="s">
        <v>221</v>
      </c>
      <c r="F26" s="83" t="s">
        <v>222</v>
      </c>
      <c r="G26" s="82" t="s">
        <v>223</v>
      </c>
      <c r="H26" s="82" t="s">
        <v>240</v>
      </c>
    </row>
    <row r="27" spans="1:8" ht="21" customHeight="1" x14ac:dyDescent="0.4">
      <c r="B27" s="118" t="s">
        <v>53</v>
      </c>
      <c r="C27" s="103">
        <f t="shared" ref="C27:C33" si="0">SUM(C28:C32)</f>
        <v>0</v>
      </c>
      <c r="D27" s="103">
        <f>D28+D34+D35</f>
        <v>0</v>
      </c>
      <c r="E27" s="103">
        <f>E28+E34+E35</f>
        <v>0</v>
      </c>
      <c r="F27" s="103">
        <f>F28+F34+F35</f>
        <v>0</v>
      </c>
      <c r="G27" s="103">
        <f>G28+G34+G35</f>
        <v>0</v>
      </c>
    </row>
    <row r="28" spans="1:8" ht="21" customHeight="1" x14ac:dyDescent="0.4">
      <c r="B28" s="101" t="str">
        <f>B4</f>
        <v>Full Time</v>
      </c>
      <c r="C28" s="88">
        <f t="shared" si="0"/>
        <v>0</v>
      </c>
      <c r="D28" s="86"/>
      <c r="E28" s="86"/>
      <c r="F28" s="86"/>
      <c r="G28" s="86"/>
    </row>
    <row r="29" spans="1:8" ht="21" customHeight="1" x14ac:dyDescent="0.4">
      <c r="B29" s="87" t="str">
        <f>B16</f>
        <v>Job title</v>
      </c>
      <c r="C29" s="88">
        <f t="shared" si="0"/>
        <v>0</v>
      </c>
      <c r="D29" s="89"/>
      <c r="E29" s="89"/>
      <c r="F29" s="90"/>
      <c r="G29" s="90"/>
    </row>
    <row r="30" spans="1:8" ht="21" customHeight="1" x14ac:dyDescent="0.4">
      <c r="B30" s="87" t="str">
        <f>B17</f>
        <v>Job Title</v>
      </c>
      <c r="C30" s="88">
        <f t="shared" si="0"/>
        <v>0</v>
      </c>
      <c r="D30" s="89"/>
      <c r="E30" s="89"/>
      <c r="F30" s="90"/>
      <c r="G30" s="90"/>
    </row>
    <row r="31" spans="1:8" ht="21" customHeight="1" x14ac:dyDescent="0.4">
      <c r="B31" s="87" t="str">
        <f>B18</f>
        <v>Job Title</v>
      </c>
      <c r="C31" s="88">
        <f t="shared" si="0"/>
        <v>0</v>
      </c>
      <c r="D31" s="89"/>
      <c r="E31" s="89"/>
      <c r="F31" s="90"/>
      <c r="G31" s="90"/>
    </row>
    <row r="32" spans="1:8" ht="21" customHeight="1" x14ac:dyDescent="0.4">
      <c r="B32" s="87" t="str">
        <f>B19</f>
        <v>Job Title</v>
      </c>
      <c r="C32" s="88">
        <f t="shared" si="0"/>
        <v>0</v>
      </c>
      <c r="D32" s="89"/>
      <c r="E32" s="89"/>
      <c r="F32" s="90"/>
      <c r="G32" s="90"/>
    </row>
    <row r="33" spans="2:8" ht="21" customHeight="1" x14ac:dyDescent="0.4">
      <c r="B33" s="87" t="str">
        <f>B20</f>
        <v>Job Title</v>
      </c>
      <c r="C33" s="88">
        <f t="shared" si="0"/>
        <v>0</v>
      </c>
      <c r="D33" s="116"/>
      <c r="E33" s="94"/>
      <c r="F33" s="95"/>
      <c r="G33" s="95"/>
    </row>
    <row r="34" spans="2:8" ht="21" customHeight="1" x14ac:dyDescent="0.4">
      <c r="B34" s="103" t="str">
        <f>B10</f>
        <v>Part Time</v>
      </c>
      <c r="C34" s="103"/>
      <c r="D34" s="105"/>
      <c r="E34" s="89"/>
      <c r="F34" s="90"/>
      <c r="G34" s="90"/>
    </row>
    <row r="35" spans="2:8" ht="21" customHeight="1" x14ac:dyDescent="0.4">
      <c r="B35" s="102" t="str">
        <f>B11</f>
        <v>Temporary</v>
      </c>
      <c r="C35" s="102"/>
      <c r="D35" s="85"/>
      <c r="E35" s="117"/>
      <c r="F35" s="86"/>
      <c r="G35" s="86"/>
    </row>
    <row r="36" spans="2:8" ht="42.75" customHeight="1" x14ac:dyDescent="0.4">
      <c r="B36" s="119" t="s">
        <v>239</v>
      </c>
      <c r="C36" s="82" t="s">
        <v>219</v>
      </c>
      <c r="D36" s="82" t="s">
        <v>220</v>
      </c>
      <c r="E36" s="83" t="s">
        <v>221</v>
      </c>
      <c r="F36" s="83" t="s">
        <v>222</v>
      </c>
      <c r="G36" s="82" t="s">
        <v>223</v>
      </c>
      <c r="H36" s="120" t="s">
        <v>240</v>
      </c>
    </row>
    <row r="37" spans="2:8" ht="21" customHeight="1" x14ac:dyDescent="0.4">
      <c r="B37" s="118" t="s">
        <v>53</v>
      </c>
      <c r="C37" s="103"/>
      <c r="D37" s="103"/>
      <c r="E37" s="103"/>
      <c r="F37" s="103"/>
      <c r="G37" s="103"/>
    </row>
    <row r="38" spans="2:8" ht="21" customHeight="1" x14ac:dyDescent="0.4">
      <c r="B38" s="101" t="s">
        <v>123</v>
      </c>
      <c r="C38" s="88"/>
      <c r="D38" s="88"/>
      <c r="E38" s="88"/>
      <c r="F38" s="88"/>
      <c r="G38" s="88"/>
    </row>
    <row r="39" spans="2:8" ht="21" customHeight="1" x14ac:dyDescent="0.4">
      <c r="B39" s="87" t="s">
        <v>224</v>
      </c>
      <c r="D39" s="79"/>
      <c r="E39" s="79"/>
      <c r="F39" s="88"/>
      <c r="G39" s="88"/>
    </row>
    <row r="40" spans="2:8" ht="21" customHeight="1" x14ac:dyDescent="0.4">
      <c r="B40" s="91" t="s">
        <v>225</v>
      </c>
      <c r="C40" s="88"/>
      <c r="D40" s="79"/>
      <c r="E40" s="79"/>
      <c r="F40" s="88"/>
      <c r="G40" s="88"/>
    </row>
    <row r="41" spans="2:8" ht="21" customHeight="1" x14ac:dyDescent="0.4">
      <c r="B41" s="87" t="s">
        <v>226</v>
      </c>
      <c r="C41" s="88"/>
      <c r="D41" s="79"/>
      <c r="E41" s="79"/>
      <c r="F41" s="88"/>
      <c r="G41" s="88"/>
    </row>
    <row r="42" spans="2:8" ht="21" customHeight="1" x14ac:dyDescent="0.4">
      <c r="B42" s="91" t="s">
        <v>227</v>
      </c>
      <c r="C42" s="88"/>
      <c r="D42" s="79"/>
      <c r="E42" s="79"/>
      <c r="F42" s="88"/>
      <c r="G42" s="88"/>
    </row>
    <row r="43" spans="2:8" ht="21" customHeight="1" x14ac:dyDescent="0.4">
      <c r="B43" s="87" t="s">
        <v>228</v>
      </c>
      <c r="D43" s="79"/>
      <c r="E43" s="79"/>
      <c r="F43" s="88"/>
      <c r="G43" s="88"/>
    </row>
    <row r="44" spans="2:8" ht="21" customHeight="1" x14ac:dyDescent="0.4">
      <c r="B44" s="96" t="s">
        <v>229</v>
      </c>
      <c r="C44" s="93"/>
      <c r="D44" s="97"/>
      <c r="E44" s="97"/>
      <c r="F44" s="93"/>
      <c r="G44" s="93"/>
    </row>
    <row r="45" spans="2:8" ht="21" customHeight="1" x14ac:dyDescent="0.4">
      <c r="B45" s="2" t="s">
        <v>230</v>
      </c>
      <c r="C45" s="98">
        <f>MEDIAN(F4:F11)</f>
        <v>0</v>
      </c>
      <c r="D45" s="99">
        <f>(C45*0.02)+C45</f>
        <v>0</v>
      </c>
      <c r="E45" s="99">
        <f t="shared" ref="E45:G46" si="1">(D45*0.02)+D45</f>
        <v>0</v>
      </c>
      <c r="F45" s="99">
        <f t="shared" si="1"/>
        <v>0</v>
      </c>
      <c r="G45" s="100">
        <f>(F45*0.02)+F45</f>
        <v>0</v>
      </c>
    </row>
    <row r="46" spans="2:8" ht="21" customHeight="1" x14ac:dyDescent="0.4">
      <c r="B46" s="2" t="s">
        <v>231</v>
      </c>
      <c r="C46" s="98" t="e">
        <f>tblRealEstate54[[#Totals],[MEDIAN INCOME]]/tblRealEstate54[[#Totals],[NUMBER OF JOBS]]</f>
        <v>#DIV/0!</v>
      </c>
      <c r="D46" s="99" t="e">
        <f>(C46*0.02)+C46</f>
        <v>#DIV/0!</v>
      </c>
      <c r="E46" s="99" t="e">
        <f t="shared" si="1"/>
        <v>#DIV/0!</v>
      </c>
      <c r="F46" s="99" t="e">
        <f t="shared" si="1"/>
        <v>#DIV/0!</v>
      </c>
      <c r="G46" s="99" t="e">
        <f t="shared" si="1"/>
        <v>#DIV/0!</v>
      </c>
    </row>
    <row r="47" spans="2:8" ht="21" customHeight="1" x14ac:dyDescent="0.4">
      <c r="B47" s="2"/>
      <c r="D47" s="4"/>
      <c r="E47" s="4"/>
    </row>
    <row r="48" spans="2:8" ht="21" customHeight="1" x14ac:dyDescent="0.4">
      <c r="B48" s="2"/>
      <c r="D48" s="4"/>
      <c r="E48" s="4"/>
    </row>
    <row r="49" spans="2:5" ht="21" customHeight="1" x14ac:dyDescent="0.4">
      <c r="B49" s="2"/>
      <c r="D49" s="4"/>
      <c r="E49" s="4"/>
    </row>
    <row r="50" spans="2:5" ht="21" customHeight="1" x14ac:dyDescent="0.4">
      <c r="B50" s="2"/>
      <c r="D50" s="4"/>
      <c r="E50" s="4"/>
    </row>
    <row r="51" spans="2:5" ht="21" customHeight="1" x14ac:dyDescent="0.4">
      <c r="B51" s="2"/>
      <c r="D51" s="4"/>
      <c r="E51" s="4"/>
    </row>
    <row r="52" spans="2:5" ht="21" customHeight="1" x14ac:dyDescent="0.4">
      <c r="B52" s="2"/>
      <c r="D52" s="4"/>
      <c r="E52" s="4"/>
    </row>
    <row r="53" spans="2:5" ht="21" customHeight="1" x14ac:dyDescent="0.4">
      <c r="B53" s="471"/>
      <c r="C53" s="471"/>
      <c r="D53" s="471"/>
      <c r="E53" s="13"/>
    </row>
    <row r="54" spans="2:5" ht="21" customHeight="1" x14ac:dyDescent="0.4">
      <c r="B54" s="9"/>
      <c r="D54" s="10"/>
      <c r="E54" s="10"/>
    </row>
    <row r="55" spans="2:5" ht="21" customHeight="1" x14ac:dyDescent="0.4">
      <c r="B55" s="2"/>
      <c r="D55" s="4"/>
      <c r="E55" s="4"/>
    </row>
    <row r="56" spans="2:5" ht="21" customHeight="1" x14ac:dyDescent="0.4">
      <c r="B56" s="2"/>
      <c r="D56" s="4"/>
      <c r="E56" s="4"/>
    </row>
    <row r="57" spans="2:5" ht="21" customHeight="1" x14ac:dyDescent="0.4">
      <c r="B57" s="2"/>
      <c r="D57" s="4"/>
      <c r="E57" s="4"/>
    </row>
    <row r="58" spans="2:5" ht="21" customHeight="1" x14ac:dyDescent="0.4">
      <c r="B58" s="2"/>
      <c r="D58" s="4"/>
      <c r="E58" s="4"/>
    </row>
    <row r="59" spans="2:5" ht="21" customHeight="1" x14ac:dyDescent="0.4">
      <c r="B59" s="2"/>
      <c r="D59" s="4"/>
      <c r="E59" s="4"/>
    </row>
    <row r="60" spans="2:5" ht="21" customHeight="1" x14ac:dyDescent="0.4">
      <c r="B60" s="471"/>
      <c r="C60" s="471"/>
      <c r="D60" s="471"/>
      <c r="E60" s="13"/>
    </row>
    <row r="61" spans="2:5" ht="21" customHeight="1" x14ac:dyDescent="0.4">
      <c r="B61" s="9"/>
      <c r="D61" s="10"/>
      <c r="E61" s="10"/>
    </row>
    <row r="62" spans="2:5" ht="21" customHeight="1" x14ac:dyDescent="0.4">
      <c r="B62" s="2"/>
      <c r="D62" s="4"/>
      <c r="E62" s="4"/>
    </row>
    <row r="63" spans="2:5" ht="21" customHeight="1" x14ac:dyDescent="0.4">
      <c r="B63" s="2"/>
      <c r="D63" s="4"/>
      <c r="E63" s="4"/>
    </row>
    <row r="64" spans="2:5" ht="21" customHeight="1" x14ac:dyDescent="0.4">
      <c r="B64" s="2"/>
      <c r="D64" s="4"/>
      <c r="E64" s="4"/>
    </row>
    <row r="65" spans="2:5" ht="21" customHeight="1" x14ac:dyDescent="0.4">
      <c r="B65" s="471"/>
      <c r="C65" s="471"/>
      <c r="D65" s="471"/>
      <c r="E65" s="13"/>
    </row>
    <row r="66" spans="2:5" ht="21" customHeight="1" x14ac:dyDescent="0.4">
      <c r="B66" s="5"/>
      <c r="C66" s="6"/>
      <c r="D66" s="7"/>
      <c r="E66" s="7"/>
    </row>
    <row r="67" spans="2:5" ht="21" customHeight="1" x14ac:dyDescent="0.4">
      <c r="B67" s="471"/>
      <c r="C67" s="471"/>
      <c r="D67" s="471"/>
      <c r="E67" s="13"/>
    </row>
    <row r="68" spans="2:5" ht="21" customHeight="1" x14ac:dyDescent="0.4">
      <c r="B68" s="5"/>
      <c r="C68" s="6"/>
      <c r="D68" s="7"/>
      <c r="E68" s="7"/>
    </row>
    <row r="69" spans="2:5" ht="21" customHeight="1" x14ac:dyDescent="0.4">
      <c r="B69" s="471"/>
      <c r="C69" s="471"/>
      <c r="D69" s="471"/>
      <c r="E69" s="13"/>
    </row>
    <row r="79" spans="2:5" ht="21" customHeight="1" x14ac:dyDescent="0.4">
      <c r="B79" s="1"/>
    </row>
    <row r="80" spans="2:5" ht="21" customHeight="1" x14ac:dyDescent="0.4">
      <c r="B80" s="9"/>
      <c r="D80" s="10"/>
      <c r="E80" s="10"/>
    </row>
    <row r="81" spans="2:5" ht="21" customHeight="1" x14ac:dyDescent="0.4">
      <c r="B81" s="2"/>
      <c r="D81" s="4"/>
      <c r="E81" s="4"/>
    </row>
    <row r="82" spans="2:5" ht="21" customHeight="1" x14ac:dyDescent="0.4">
      <c r="B82" s="2"/>
      <c r="D82" s="4"/>
      <c r="E82" s="4"/>
    </row>
    <row r="83" spans="2:5" ht="21" customHeight="1" x14ac:dyDescent="0.4">
      <c r="B83" s="2"/>
      <c r="D83" s="4"/>
      <c r="E83" s="4"/>
    </row>
    <row r="84" spans="2:5" ht="21" customHeight="1" x14ac:dyDescent="0.4">
      <c r="B84" s="2"/>
      <c r="D84" s="4"/>
      <c r="E84" s="4"/>
    </row>
    <row r="85" spans="2:5" ht="21" customHeight="1" x14ac:dyDescent="0.4">
      <c r="B85" s="2"/>
      <c r="D85" s="4"/>
      <c r="E85" s="4"/>
    </row>
    <row r="86" spans="2:5" ht="21" customHeight="1" x14ac:dyDescent="0.4">
      <c r="B86" s="471"/>
      <c r="C86" s="471"/>
      <c r="D86" s="471"/>
      <c r="E86" s="13"/>
    </row>
    <row r="87" spans="2:5" ht="21" customHeight="1" x14ac:dyDescent="0.4">
      <c r="B87" s="9"/>
      <c r="D87" s="10"/>
      <c r="E87" s="10"/>
    </row>
    <row r="88" spans="2:5" ht="21" customHeight="1" x14ac:dyDescent="0.4">
      <c r="B88" s="2"/>
      <c r="D88" s="4"/>
      <c r="E88" s="4"/>
    </row>
    <row r="89" spans="2:5" ht="21" customHeight="1" x14ac:dyDescent="0.4">
      <c r="B89" s="2"/>
      <c r="D89" s="4"/>
      <c r="E89" s="4"/>
    </row>
    <row r="90" spans="2:5" ht="21" customHeight="1" x14ac:dyDescent="0.4">
      <c r="B90" s="2"/>
      <c r="D90" s="4"/>
      <c r="E90" s="4"/>
    </row>
    <row r="91" spans="2:5" ht="21" customHeight="1" x14ac:dyDescent="0.4">
      <c r="B91" s="2"/>
      <c r="D91" s="4"/>
      <c r="E91" s="4"/>
    </row>
    <row r="92" spans="2:5" ht="21" customHeight="1" x14ac:dyDescent="0.4">
      <c r="B92" s="2"/>
      <c r="D92" s="4"/>
      <c r="E92" s="4"/>
    </row>
    <row r="93" spans="2:5" ht="21" customHeight="1" x14ac:dyDescent="0.4">
      <c r="B93" s="471"/>
      <c r="C93" s="471"/>
      <c r="D93" s="471"/>
      <c r="E93" s="13"/>
    </row>
    <row r="94" spans="2:5" ht="21" customHeight="1" x14ac:dyDescent="0.4">
      <c r="B94" s="9"/>
      <c r="D94" s="10"/>
      <c r="E94" s="10"/>
    </row>
    <row r="95" spans="2:5" ht="21" customHeight="1" x14ac:dyDescent="0.4">
      <c r="B95" s="2"/>
      <c r="D95" s="4"/>
      <c r="E95" s="4"/>
    </row>
    <row r="96" spans="2:5" ht="21" customHeight="1" x14ac:dyDescent="0.4">
      <c r="B96" s="2"/>
      <c r="D96" s="4"/>
      <c r="E96" s="4"/>
    </row>
    <row r="97" spans="2:5" ht="21" customHeight="1" x14ac:dyDescent="0.4">
      <c r="B97" s="2"/>
      <c r="D97" s="4"/>
      <c r="E97" s="4"/>
    </row>
    <row r="98" spans="2:5" ht="21" customHeight="1" x14ac:dyDescent="0.4">
      <c r="B98" s="2"/>
      <c r="D98" s="4"/>
      <c r="E98" s="4"/>
    </row>
    <row r="99" spans="2:5" ht="21" customHeight="1" x14ac:dyDescent="0.4">
      <c r="B99" s="471"/>
      <c r="C99" s="471"/>
      <c r="D99" s="471"/>
      <c r="E99" s="13"/>
    </row>
    <row r="100" spans="2:5" ht="21" customHeight="1" x14ac:dyDescent="0.4"/>
    <row r="103" spans="2:5" ht="21" customHeight="1" x14ac:dyDescent="0.4">
      <c r="B103" s="1"/>
    </row>
    <row r="104" spans="2:5" ht="21" customHeight="1" x14ac:dyDescent="0.4">
      <c r="B104" s="9"/>
      <c r="D104" s="10"/>
      <c r="E104" s="10"/>
    </row>
    <row r="105" spans="2:5" ht="21" customHeight="1" x14ac:dyDescent="0.4">
      <c r="B105" s="2"/>
      <c r="D105" s="4"/>
      <c r="E105" s="4"/>
    </row>
    <row r="106" spans="2:5" ht="21" customHeight="1" x14ac:dyDescent="0.4">
      <c r="B106" s="2"/>
      <c r="D106" s="4"/>
      <c r="E106" s="4"/>
    </row>
    <row r="107" spans="2:5" ht="21" customHeight="1" x14ac:dyDescent="0.4">
      <c r="B107" s="2"/>
      <c r="D107" s="4"/>
      <c r="E107" s="4"/>
    </row>
    <row r="108" spans="2:5" ht="21" customHeight="1" x14ac:dyDescent="0.4">
      <c r="B108" s="2"/>
      <c r="D108" s="4"/>
      <c r="E108" s="4"/>
    </row>
    <row r="109" spans="2:5" ht="21" customHeight="1" x14ac:dyDescent="0.4">
      <c r="B109" s="471"/>
      <c r="C109" s="471"/>
      <c r="D109" s="471"/>
      <c r="E109" s="13"/>
    </row>
    <row r="110" spans="2:5" ht="21" customHeight="1" x14ac:dyDescent="0.4">
      <c r="B110" s="9"/>
      <c r="D110" s="10"/>
      <c r="E110" s="10"/>
    </row>
    <row r="111" spans="2:5" ht="21" customHeight="1" x14ac:dyDescent="0.4">
      <c r="B111" s="2"/>
      <c r="D111" s="4"/>
      <c r="E111" s="4"/>
    </row>
    <row r="112" spans="2:5" ht="21" customHeight="1" x14ac:dyDescent="0.4">
      <c r="B112" s="2"/>
      <c r="D112" s="4"/>
      <c r="E112" s="4"/>
    </row>
    <row r="113" spans="2:5" ht="21" customHeight="1" x14ac:dyDescent="0.4">
      <c r="B113" s="2"/>
      <c r="D113" s="4"/>
      <c r="E113" s="4"/>
    </row>
    <row r="114" spans="2:5" ht="21" customHeight="1" x14ac:dyDescent="0.4">
      <c r="B114" s="2"/>
      <c r="D114" s="4"/>
      <c r="E114" s="4"/>
    </row>
    <row r="115" spans="2:5" ht="21" customHeight="1" x14ac:dyDescent="0.4">
      <c r="B115" s="2"/>
      <c r="D115" s="4"/>
      <c r="E115" s="4"/>
    </row>
    <row r="116" spans="2:5" ht="21" customHeight="1" x14ac:dyDescent="0.4">
      <c r="B116" s="2"/>
      <c r="D116" s="4"/>
      <c r="E116" s="4"/>
    </row>
    <row r="117" spans="2:5" ht="21" customHeight="1" x14ac:dyDescent="0.4">
      <c r="B117" s="2"/>
      <c r="D117" s="4"/>
      <c r="E117" s="4"/>
    </row>
    <row r="118" spans="2:5" ht="21" customHeight="1" x14ac:dyDescent="0.4">
      <c r="B118" s="2"/>
      <c r="D118" s="4"/>
      <c r="E118" s="4"/>
    </row>
    <row r="119" spans="2:5" ht="21" customHeight="1" x14ac:dyDescent="0.4">
      <c r="B119" s="2"/>
      <c r="D119" s="4"/>
      <c r="E119" s="4"/>
    </row>
    <row r="120" spans="2:5" ht="21" customHeight="1" x14ac:dyDescent="0.4">
      <c r="B120" s="2"/>
      <c r="D120" s="4"/>
      <c r="E120" s="4"/>
    </row>
    <row r="121" spans="2:5" ht="21" customHeight="1" x14ac:dyDescent="0.4">
      <c r="B121" s="471"/>
      <c r="C121" s="471"/>
      <c r="D121" s="471"/>
      <c r="E121" s="13"/>
    </row>
    <row r="122" spans="2:5" ht="21" customHeight="1" x14ac:dyDescent="0.4">
      <c r="B122" s="1"/>
    </row>
    <row r="123" spans="2:5" ht="21" customHeight="1" x14ac:dyDescent="0.4">
      <c r="B123" s="9"/>
      <c r="C123" s="12"/>
      <c r="D123" s="10"/>
      <c r="E123" s="10"/>
    </row>
    <row r="124" spans="2:5" ht="21" customHeight="1" x14ac:dyDescent="0.4">
      <c r="B124" s="2"/>
      <c r="D124" s="4"/>
      <c r="E124" s="4"/>
    </row>
    <row r="125" spans="2:5" ht="21" customHeight="1" x14ac:dyDescent="0.4">
      <c r="B125" s="2"/>
      <c r="D125" s="4"/>
      <c r="E125" s="4"/>
    </row>
    <row r="126" spans="2:5" ht="21" customHeight="1" x14ac:dyDescent="0.4">
      <c r="B126" s="2"/>
      <c r="D126" s="4"/>
      <c r="E126" s="4"/>
    </row>
    <row r="127" spans="2:5" ht="21" customHeight="1" x14ac:dyDescent="0.4">
      <c r="B127" s="2"/>
      <c r="D127" s="4"/>
      <c r="E127" s="4"/>
    </row>
    <row r="128" spans="2:5" ht="21" customHeight="1" x14ac:dyDescent="0.4">
      <c r="B128" s="2"/>
      <c r="D128" s="4"/>
      <c r="E128" s="4"/>
    </row>
    <row r="129" spans="2:5" ht="21" customHeight="1" x14ac:dyDescent="0.4">
      <c r="B129" s="471"/>
      <c r="C129" s="471"/>
      <c r="D129" s="471"/>
      <c r="E129" s="13"/>
    </row>
    <row r="130" spans="2:5" ht="21" customHeight="1" x14ac:dyDescent="0.4">
      <c r="B130" s="9"/>
      <c r="D130" s="11"/>
      <c r="E130" s="11"/>
    </row>
    <row r="131" spans="2:5" ht="21" customHeight="1" x14ac:dyDescent="0.4">
      <c r="B131" s="2"/>
    </row>
    <row r="132" spans="2:5" ht="21" customHeight="1" x14ac:dyDescent="0.4">
      <c r="B132" s="2"/>
    </row>
    <row r="133" spans="2:5" ht="21" customHeight="1" x14ac:dyDescent="0.4">
      <c r="B133" s="2"/>
    </row>
    <row r="134" spans="2:5" ht="21" customHeight="1" x14ac:dyDescent="0.4">
      <c r="B134" s="471"/>
      <c r="C134" s="471"/>
      <c r="D134" s="471"/>
      <c r="E134" s="13"/>
    </row>
    <row r="135" spans="2:5" ht="21" customHeight="1" x14ac:dyDescent="0.4">
      <c r="B135" s="9"/>
      <c r="D135" s="11"/>
      <c r="E135" s="11"/>
    </row>
    <row r="136" spans="2:5" ht="21" customHeight="1" x14ac:dyDescent="0.4">
      <c r="B136" s="2"/>
    </row>
    <row r="137" spans="2:5" ht="21" customHeight="1" x14ac:dyDescent="0.4">
      <c r="B137" s="2"/>
    </row>
    <row r="138" spans="2:5" ht="21" customHeight="1" x14ac:dyDescent="0.4">
      <c r="B138" s="2"/>
    </row>
    <row r="139" spans="2:5" ht="21" customHeight="1" x14ac:dyDescent="0.4"/>
  </sheetData>
  <mergeCells count="15">
    <mergeCell ref="A2:F2"/>
    <mergeCell ref="B65:D65"/>
    <mergeCell ref="B67:D67"/>
    <mergeCell ref="B69:D69"/>
    <mergeCell ref="B86:D86"/>
    <mergeCell ref="B13:D13"/>
    <mergeCell ref="B24:D24"/>
    <mergeCell ref="B53:D53"/>
    <mergeCell ref="B60:D60"/>
    <mergeCell ref="B109:D109"/>
    <mergeCell ref="B121:D121"/>
    <mergeCell ref="B129:D129"/>
    <mergeCell ref="B134:D134"/>
    <mergeCell ref="B93:D93"/>
    <mergeCell ref="B99:D99"/>
  </mergeCells>
  <pageMargins left="0.7" right="0.7" top="0.75" bottom="0.75" header="0.3" footer="0.3"/>
  <pageSetup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1"/>
  <sheetViews>
    <sheetView workbookViewId="0">
      <selection activeCell="B2" sqref="B2:P2"/>
    </sheetView>
  </sheetViews>
  <sheetFormatPr defaultColWidth="8.5703125" defaultRowHeight="11.65" x14ac:dyDescent="0.4"/>
  <cols>
    <col min="1" max="1" width="2.78515625" style="20" customWidth="1"/>
    <col min="2" max="2" width="36.78515625" style="19" customWidth="1"/>
    <col min="3" max="10" width="12.78515625" style="19" customWidth="1"/>
    <col min="11" max="16" width="13.78515625" style="19" customWidth="1"/>
    <col min="17" max="16384" width="8.5703125" style="19"/>
  </cols>
  <sheetData>
    <row r="1" spans="1:16" s="15" customFormat="1" ht="12" customHeight="1" x14ac:dyDescent="0.4">
      <c r="A1" s="14"/>
      <c r="B1" s="14"/>
      <c r="C1" s="14"/>
      <c r="D1" s="14"/>
    </row>
    <row r="2" spans="1:16" s="15" customFormat="1" ht="30" customHeight="1" thickBot="1" x14ac:dyDescent="0.45">
      <c r="A2" s="16"/>
      <c r="B2" s="450" t="s">
        <v>299</v>
      </c>
      <c r="C2" s="450"/>
      <c r="D2" s="450"/>
      <c r="E2" s="450"/>
      <c r="F2" s="450"/>
      <c r="G2" s="450"/>
      <c r="H2" s="450"/>
      <c r="I2" s="450"/>
      <c r="J2" s="450"/>
      <c r="K2" s="450"/>
      <c r="L2" s="450"/>
      <c r="M2" s="450"/>
      <c r="N2" s="450"/>
      <c r="O2" s="450"/>
      <c r="P2" s="450"/>
    </row>
    <row r="3" spans="1:16" ht="18" customHeight="1" thickTop="1" x14ac:dyDescent="0.4">
      <c r="A3" s="17"/>
      <c r="B3" s="18" t="str">
        <f>'Project Costs'!D1</f>
        <v>Business Name</v>
      </c>
    </row>
    <row r="4" spans="1:16" ht="18" customHeight="1" x14ac:dyDescent="0.4">
      <c r="B4" s="195" t="s">
        <v>295</v>
      </c>
    </row>
    <row r="5" spans="1:16" s="25" customFormat="1" ht="38.25" customHeight="1" thickBot="1" x14ac:dyDescent="0.45">
      <c r="A5" s="20"/>
      <c r="B5" s="22"/>
      <c r="C5" s="78" t="s">
        <v>106</v>
      </c>
      <c r="D5" s="23" t="s">
        <v>107</v>
      </c>
      <c r="E5" s="23" t="s">
        <v>108</v>
      </c>
      <c r="F5" s="23" t="s">
        <v>109</v>
      </c>
      <c r="G5" s="23" t="s">
        <v>110</v>
      </c>
      <c r="H5" s="23" t="s">
        <v>111</v>
      </c>
      <c r="I5" s="23" t="s">
        <v>112</v>
      </c>
      <c r="J5" s="23" t="s">
        <v>113</v>
      </c>
      <c r="K5" s="23" t="s">
        <v>114</v>
      </c>
      <c r="L5" s="23" t="s">
        <v>115</v>
      </c>
      <c r="M5" s="23" t="s">
        <v>116</v>
      </c>
      <c r="N5" s="23" t="s">
        <v>117</v>
      </c>
      <c r="O5" s="23" t="s">
        <v>118</v>
      </c>
      <c r="P5" s="24" t="s">
        <v>53</v>
      </c>
    </row>
    <row r="6" spans="1:16" ht="18" customHeight="1" x14ac:dyDescent="0.4">
      <c r="B6" s="26" t="s">
        <v>54</v>
      </c>
      <c r="C6" s="27"/>
      <c r="D6" s="28"/>
      <c r="E6" s="28"/>
      <c r="F6" s="28"/>
      <c r="G6" s="28"/>
      <c r="H6" s="28"/>
      <c r="I6" s="28"/>
      <c r="J6" s="28"/>
      <c r="K6" s="28"/>
      <c r="L6" s="28"/>
      <c r="M6" s="28"/>
      <c r="N6" s="28"/>
      <c r="O6" s="28"/>
      <c r="P6" s="29"/>
    </row>
    <row r="7" spans="1:16" ht="18" customHeight="1" thickBot="1" x14ac:dyDescent="0.45">
      <c r="B7" s="30" t="s">
        <v>104</v>
      </c>
      <c r="C7" s="31"/>
      <c r="D7" s="32">
        <f>C45</f>
        <v>0</v>
      </c>
      <c r="E7" s="32">
        <f t="shared" ref="E7:O7" si="0">D45</f>
        <v>0</v>
      </c>
      <c r="F7" s="32">
        <f t="shared" si="0"/>
        <v>0</v>
      </c>
      <c r="G7" s="32">
        <f t="shared" si="0"/>
        <v>0</v>
      </c>
      <c r="H7" s="32">
        <f t="shared" si="0"/>
        <v>0</v>
      </c>
      <c r="I7" s="32">
        <f t="shared" si="0"/>
        <v>0</v>
      </c>
      <c r="J7" s="32">
        <f t="shared" si="0"/>
        <v>0</v>
      </c>
      <c r="K7" s="32">
        <f t="shared" si="0"/>
        <v>0</v>
      </c>
      <c r="L7" s="32">
        <f t="shared" si="0"/>
        <v>0</v>
      </c>
      <c r="M7" s="32">
        <f t="shared" si="0"/>
        <v>0</v>
      </c>
      <c r="N7" s="32">
        <f t="shared" si="0"/>
        <v>0</v>
      </c>
      <c r="O7" s="33">
        <f t="shared" si="0"/>
        <v>0</v>
      </c>
      <c r="P7" s="34"/>
    </row>
    <row r="8" spans="1:16" ht="18" customHeight="1" x14ac:dyDescent="0.4">
      <c r="B8" s="26" t="s">
        <v>55</v>
      </c>
      <c r="C8" s="35"/>
      <c r="D8" s="36"/>
      <c r="E8" s="36"/>
      <c r="F8" s="36"/>
      <c r="G8" s="36"/>
      <c r="H8" s="36"/>
      <c r="I8" s="36"/>
      <c r="J8" s="36"/>
      <c r="K8" s="36"/>
      <c r="L8" s="36"/>
      <c r="M8" s="36"/>
      <c r="N8" s="36"/>
      <c r="O8" s="36"/>
      <c r="P8" s="37"/>
    </row>
    <row r="9" spans="1:16" ht="18" customHeight="1" x14ac:dyDescent="0.4">
      <c r="B9" s="38" t="s">
        <v>56</v>
      </c>
      <c r="C9" s="39"/>
      <c r="D9" s="40"/>
      <c r="E9" s="40"/>
      <c r="F9" s="40"/>
      <c r="G9" s="40"/>
      <c r="H9" s="40"/>
      <c r="I9" s="40"/>
      <c r="J9" s="40"/>
      <c r="K9" s="40"/>
      <c r="L9" s="40"/>
      <c r="M9" s="40"/>
      <c r="N9" s="40"/>
      <c r="O9" s="40"/>
      <c r="P9" s="41">
        <v>0</v>
      </c>
    </row>
    <row r="10" spans="1:16" ht="18" customHeight="1" x14ac:dyDescent="0.4">
      <c r="B10" s="77" t="s">
        <v>57</v>
      </c>
      <c r="C10" s="39"/>
      <c r="D10" s="42"/>
      <c r="E10" s="42"/>
      <c r="F10" s="42"/>
      <c r="G10" s="42"/>
      <c r="H10" s="42"/>
      <c r="I10" s="42"/>
      <c r="J10" s="42"/>
      <c r="K10" s="42"/>
      <c r="L10" s="42"/>
      <c r="M10" s="42"/>
      <c r="N10" s="42"/>
      <c r="O10" s="42"/>
      <c r="P10" s="43">
        <v>0</v>
      </c>
    </row>
    <row r="11" spans="1:16" ht="18" customHeight="1" x14ac:dyDescent="0.4">
      <c r="B11" s="38" t="s">
        <v>58</v>
      </c>
      <c r="C11" s="40"/>
      <c r="D11" s="40"/>
      <c r="E11" s="40"/>
      <c r="F11" s="40"/>
      <c r="G11" s="40"/>
      <c r="H11" s="40"/>
      <c r="I11" s="40"/>
      <c r="J11" s="40"/>
      <c r="K11" s="40"/>
      <c r="L11" s="40"/>
      <c r="M11" s="40"/>
      <c r="N11" s="40"/>
      <c r="O11" s="40"/>
      <c r="P11" s="41">
        <v>0</v>
      </c>
    </row>
    <row r="12" spans="1:16" ht="18" customHeight="1" x14ac:dyDescent="0.4">
      <c r="B12" s="44" t="s">
        <v>59</v>
      </c>
      <c r="C12" s="45"/>
      <c r="D12" s="28"/>
      <c r="E12" s="28"/>
      <c r="F12" s="28"/>
      <c r="G12" s="28"/>
      <c r="H12" s="28"/>
      <c r="I12" s="28"/>
      <c r="J12" s="28"/>
      <c r="K12" s="28"/>
      <c r="L12" s="28"/>
      <c r="M12" s="28"/>
      <c r="N12" s="28"/>
      <c r="O12" s="28"/>
      <c r="P12" s="46"/>
    </row>
    <row r="13" spans="1:16" ht="18" customHeight="1" thickBot="1" x14ac:dyDescent="0.45">
      <c r="B13" s="30" t="s">
        <v>60</v>
      </c>
      <c r="C13" s="47">
        <f>SUM(C9:C11)</f>
        <v>0</v>
      </c>
      <c r="D13" s="47">
        <f t="shared" ref="D13:O13" si="1">SUM(D9:D11)</f>
        <v>0</v>
      </c>
      <c r="E13" s="47">
        <f t="shared" si="1"/>
        <v>0</v>
      </c>
      <c r="F13" s="47">
        <f t="shared" si="1"/>
        <v>0</v>
      </c>
      <c r="G13" s="47">
        <f t="shared" si="1"/>
        <v>0</v>
      </c>
      <c r="H13" s="47">
        <f t="shared" si="1"/>
        <v>0</v>
      </c>
      <c r="I13" s="47">
        <f t="shared" si="1"/>
        <v>0</v>
      </c>
      <c r="J13" s="47">
        <f t="shared" si="1"/>
        <v>0</v>
      </c>
      <c r="K13" s="47">
        <f t="shared" si="1"/>
        <v>0</v>
      </c>
      <c r="L13" s="47">
        <f t="shared" si="1"/>
        <v>0</v>
      </c>
      <c r="M13" s="47">
        <f t="shared" si="1"/>
        <v>0</v>
      </c>
      <c r="N13" s="47">
        <f t="shared" si="1"/>
        <v>0</v>
      </c>
      <c r="O13" s="47">
        <f t="shared" si="1"/>
        <v>0</v>
      </c>
      <c r="P13" s="48">
        <v>0</v>
      </c>
    </row>
    <row r="14" spans="1:16" ht="18" customHeight="1" x14ac:dyDescent="0.4">
      <c r="B14" s="26" t="s">
        <v>61</v>
      </c>
      <c r="C14" s="45"/>
      <c r="D14" s="28"/>
      <c r="E14" s="28"/>
      <c r="F14" s="28"/>
      <c r="G14" s="28"/>
      <c r="H14" s="28"/>
      <c r="I14" s="28"/>
      <c r="J14" s="28"/>
      <c r="K14" s="28"/>
      <c r="L14" s="28"/>
      <c r="M14" s="28"/>
      <c r="N14" s="28"/>
      <c r="O14" s="28"/>
      <c r="P14" s="49"/>
    </row>
    <row r="15" spans="1:16" ht="18" customHeight="1" thickBot="1" x14ac:dyDescent="0.45">
      <c r="B15" s="30" t="s">
        <v>62</v>
      </c>
      <c r="C15" s="47">
        <f>C7+C13</f>
        <v>0</v>
      </c>
      <c r="D15" s="47">
        <f t="shared" ref="D15:O15" si="2">D7+D13</f>
        <v>0</v>
      </c>
      <c r="E15" s="47">
        <f t="shared" si="2"/>
        <v>0</v>
      </c>
      <c r="F15" s="47">
        <f t="shared" si="2"/>
        <v>0</v>
      </c>
      <c r="G15" s="47">
        <f t="shared" si="2"/>
        <v>0</v>
      </c>
      <c r="H15" s="47">
        <f t="shared" si="2"/>
        <v>0</v>
      </c>
      <c r="I15" s="47">
        <f t="shared" si="2"/>
        <v>0</v>
      </c>
      <c r="J15" s="47">
        <f t="shared" si="2"/>
        <v>0</v>
      </c>
      <c r="K15" s="47">
        <f t="shared" si="2"/>
        <v>0</v>
      </c>
      <c r="L15" s="47">
        <f t="shared" si="2"/>
        <v>0</v>
      </c>
      <c r="M15" s="47">
        <f t="shared" si="2"/>
        <v>0</v>
      </c>
      <c r="N15" s="47">
        <f t="shared" si="2"/>
        <v>0</v>
      </c>
      <c r="O15" s="47">
        <f t="shared" si="2"/>
        <v>0</v>
      </c>
      <c r="P15" s="50"/>
    </row>
    <row r="16" spans="1:16" ht="18" customHeight="1" x14ac:dyDescent="0.4">
      <c r="B16" s="51" t="s">
        <v>63</v>
      </c>
      <c r="C16" s="52"/>
      <c r="D16" s="53"/>
      <c r="E16" s="53"/>
      <c r="F16" s="53"/>
      <c r="G16" s="53"/>
      <c r="H16" s="53"/>
      <c r="I16" s="53"/>
      <c r="J16" s="53"/>
      <c r="K16" s="53"/>
      <c r="L16" s="53"/>
      <c r="M16" s="53"/>
      <c r="N16" s="53"/>
      <c r="O16" s="53"/>
      <c r="P16" s="54"/>
    </row>
    <row r="17" spans="2:16" ht="18" customHeight="1" x14ac:dyDescent="0.4">
      <c r="B17" s="55" t="s">
        <v>64</v>
      </c>
      <c r="C17" s="40"/>
      <c r="D17" s="40"/>
      <c r="E17" s="40"/>
      <c r="F17" s="40"/>
      <c r="G17" s="40"/>
      <c r="H17" s="40"/>
      <c r="I17" s="40"/>
      <c r="J17" s="40"/>
      <c r="K17" s="40"/>
      <c r="L17" s="40"/>
      <c r="M17" s="40"/>
      <c r="N17" s="40"/>
      <c r="O17" s="40"/>
      <c r="P17" s="56">
        <f t="shared" ref="P17:P35" si="3">SUM(D17:O17)</f>
        <v>0</v>
      </c>
    </row>
    <row r="18" spans="2:16" ht="18" customHeight="1" x14ac:dyDescent="0.4">
      <c r="B18" s="57" t="s">
        <v>65</v>
      </c>
      <c r="C18" s="52"/>
      <c r="D18" s="53"/>
      <c r="E18" s="53"/>
      <c r="F18" s="53"/>
      <c r="G18" s="53"/>
      <c r="H18" s="53"/>
      <c r="I18" s="53"/>
      <c r="J18" s="53"/>
      <c r="K18" s="53"/>
      <c r="L18" s="53"/>
      <c r="M18" s="53"/>
      <c r="N18" s="53"/>
      <c r="O18" s="53"/>
      <c r="P18" s="58">
        <f t="shared" si="3"/>
        <v>0</v>
      </c>
    </row>
    <row r="19" spans="2:16" ht="18" customHeight="1" x14ac:dyDescent="0.4">
      <c r="B19" s="55" t="s">
        <v>66</v>
      </c>
      <c r="C19" s="40"/>
      <c r="D19" s="40"/>
      <c r="E19" s="40"/>
      <c r="F19" s="40"/>
      <c r="G19" s="40"/>
      <c r="H19" s="40"/>
      <c r="I19" s="40"/>
      <c r="J19" s="40"/>
      <c r="K19" s="40"/>
      <c r="L19" s="40"/>
      <c r="M19" s="40"/>
      <c r="N19" s="40"/>
      <c r="O19" s="40"/>
      <c r="P19" s="56">
        <f t="shared" si="3"/>
        <v>0</v>
      </c>
    </row>
    <row r="20" spans="2:16" ht="18" customHeight="1" x14ac:dyDescent="0.4">
      <c r="B20" s="57" t="s">
        <v>67</v>
      </c>
      <c r="C20" s="52"/>
      <c r="D20" s="53"/>
      <c r="E20" s="53"/>
      <c r="F20" s="53"/>
      <c r="G20" s="53"/>
      <c r="H20" s="53"/>
      <c r="I20" s="53"/>
      <c r="J20" s="53"/>
      <c r="K20" s="53"/>
      <c r="L20" s="53"/>
      <c r="M20" s="53"/>
      <c r="N20" s="53"/>
      <c r="O20" s="53"/>
      <c r="P20" s="58">
        <f t="shared" si="3"/>
        <v>0</v>
      </c>
    </row>
    <row r="21" spans="2:16" ht="18" customHeight="1" x14ac:dyDescent="0.4">
      <c r="B21" s="55" t="s">
        <v>68</v>
      </c>
      <c r="C21" s="40"/>
      <c r="D21" s="40"/>
      <c r="E21" s="40"/>
      <c r="F21" s="40"/>
      <c r="G21" s="40"/>
      <c r="H21" s="40"/>
      <c r="I21" s="40"/>
      <c r="J21" s="40"/>
      <c r="K21" s="40"/>
      <c r="L21" s="40"/>
      <c r="M21" s="40"/>
      <c r="N21" s="40"/>
      <c r="O21" s="40"/>
      <c r="P21" s="56">
        <f t="shared" si="3"/>
        <v>0</v>
      </c>
    </row>
    <row r="22" spans="2:16" ht="18" customHeight="1" x14ac:dyDescent="0.4">
      <c r="B22" s="57" t="s">
        <v>69</v>
      </c>
      <c r="C22" s="52"/>
      <c r="D22" s="53"/>
      <c r="E22" s="53"/>
      <c r="F22" s="53"/>
      <c r="G22" s="53"/>
      <c r="H22" s="53"/>
      <c r="I22" s="53"/>
      <c r="J22" s="53"/>
      <c r="K22" s="53"/>
      <c r="L22" s="53"/>
      <c r="M22" s="53"/>
      <c r="N22" s="53"/>
      <c r="O22" s="53"/>
      <c r="P22" s="58">
        <f t="shared" si="3"/>
        <v>0</v>
      </c>
    </row>
    <row r="23" spans="2:16" ht="18" customHeight="1" x14ac:dyDescent="0.4">
      <c r="B23" s="55" t="s">
        <v>70</v>
      </c>
      <c r="C23" s="40"/>
      <c r="D23" s="40"/>
      <c r="E23" s="40"/>
      <c r="F23" s="40"/>
      <c r="G23" s="40"/>
      <c r="H23" s="40"/>
      <c r="I23" s="40"/>
      <c r="J23" s="40"/>
      <c r="K23" s="40"/>
      <c r="L23" s="40"/>
      <c r="M23" s="40"/>
      <c r="N23" s="40"/>
      <c r="O23" s="40"/>
      <c r="P23" s="56">
        <f t="shared" si="3"/>
        <v>0</v>
      </c>
    </row>
    <row r="24" spans="2:16" ht="18" customHeight="1" x14ac:dyDescent="0.4">
      <c r="B24" s="57" t="s">
        <v>71</v>
      </c>
      <c r="C24" s="52"/>
      <c r="D24" s="53"/>
      <c r="E24" s="53"/>
      <c r="F24" s="53"/>
      <c r="G24" s="53"/>
      <c r="H24" s="53"/>
      <c r="I24" s="53"/>
      <c r="J24" s="53"/>
      <c r="K24" s="53"/>
      <c r="L24" s="53"/>
      <c r="M24" s="53"/>
      <c r="N24" s="53"/>
      <c r="O24" s="53"/>
      <c r="P24" s="58">
        <f t="shared" si="3"/>
        <v>0</v>
      </c>
    </row>
    <row r="25" spans="2:16" ht="18" customHeight="1" x14ac:dyDescent="0.4">
      <c r="B25" s="55" t="s">
        <v>72</v>
      </c>
      <c r="C25" s="40"/>
      <c r="D25" s="40"/>
      <c r="E25" s="40"/>
      <c r="F25" s="40"/>
      <c r="G25" s="40"/>
      <c r="H25" s="40"/>
      <c r="I25" s="40"/>
      <c r="J25" s="40"/>
      <c r="K25" s="40"/>
      <c r="L25" s="40"/>
      <c r="M25" s="40"/>
      <c r="N25" s="40"/>
      <c r="O25" s="40"/>
      <c r="P25" s="56">
        <f t="shared" si="3"/>
        <v>0</v>
      </c>
    </row>
    <row r="26" spans="2:16" ht="18" customHeight="1" x14ac:dyDescent="0.4">
      <c r="B26" s="57" t="s">
        <v>73</v>
      </c>
      <c r="C26" s="52"/>
      <c r="D26" s="53"/>
      <c r="E26" s="53"/>
      <c r="F26" s="53"/>
      <c r="G26" s="53"/>
      <c r="H26" s="53"/>
      <c r="I26" s="53"/>
      <c r="J26" s="53"/>
      <c r="K26" s="53"/>
      <c r="L26" s="53"/>
      <c r="M26" s="53"/>
      <c r="N26" s="53"/>
      <c r="O26" s="53"/>
      <c r="P26" s="58">
        <f t="shared" si="3"/>
        <v>0</v>
      </c>
    </row>
    <row r="27" spans="2:16" ht="18" customHeight="1" x14ac:dyDescent="0.4">
      <c r="B27" s="55" t="s">
        <v>74</v>
      </c>
      <c r="C27" s="40"/>
      <c r="D27" s="40"/>
      <c r="E27" s="40"/>
      <c r="F27" s="40"/>
      <c r="G27" s="40"/>
      <c r="H27" s="40"/>
      <c r="I27" s="40"/>
      <c r="J27" s="40"/>
      <c r="K27" s="40"/>
      <c r="L27" s="40"/>
      <c r="M27" s="40"/>
      <c r="N27" s="40"/>
      <c r="O27" s="40"/>
      <c r="P27" s="56">
        <f t="shared" si="3"/>
        <v>0</v>
      </c>
    </row>
    <row r="28" spans="2:16" ht="18" customHeight="1" x14ac:dyDescent="0.4">
      <c r="B28" s="57" t="s">
        <v>75</v>
      </c>
      <c r="C28" s="52"/>
      <c r="D28" s="53"/>
      <c r="E28" s="53"/>
      <c r="F28" s="53"/>
      <c r="G28" s="53"/>
      <c r="H28" s="53"/>
      <c r="I28" s="53"/>
      <c r="J28" s="53"/>
      <c r="K28" s="53"/>
      <c r="L28" s="53"/>
      <c r="M28" s="53"/>
      <c r="N28" s="53"/>
      <c r="O28" s="53"/>
      <c r="P28" s="58">
        <f t="shared" si="3"/>
        <v>0</v>
      </c>
    </row>
    <row r="29" spans="2:16" ht="18" customHeight="1" x14ac:dyDescent="0.4">
      <c r="B29" s="55" t="s">
        <v>76</v>
      </c>
      <c r="C29" s="40"/>
      <c r="D29" s="40"/>
      <c r="E29" s="40"/>
      <c r="F29" s="40"/>
      <c r="G29" s="40"/>
      <c r="H29" s="40"/>
      <c r="I29" s="40"/>
      <c r="J29" s="40"/>
      <c r="K29" s="40"/>
      <c r="L29" s="40"/>
      <c r="M29" s="40"/>
      <c r="N29" s="40"/>
      <c r="O29" s="40"/>
      <c r="P29" s="56">
        <f t="shared" si="3"/>
        <v>0</v>
      </c>
    </row>
    <row r="30" spans="2:16" ht="18" customHeight="1" x14ac:dyDescent="0.4">
      <c r="B30" s="57" t="s">
        <v>77</v>
      </c>
      <c r="C30" s="52"/>
      <c r="D30" s="53"/>
      <c r="E30" s="53"/>
      <c r="F30" s="53"/>
      <c r="G30" s="53"/>
      <c r="H30" s="53"/>
      <c r="I30" s="53"/>
      <c r="J30" s="53"/>
      <c r="K30" s="53"/>
      <c r="L30" s="53"/>
      <c r="M30" s="53"/>
      <c r="N30" s="53"/>
      <c r="O30" s="53"/>
      <c r="P30" s="58">
        <f t="shared" si="3"/>
        <v>0</v>
      </c>
    </row>
    <row r="31" spans="2:16" ht="18" customHeight="1" x14ac:dyDescent="0.4">
      <c r="B31" s="55" t="s">
        <v>78</v>
      </c>
      <c r="C31" s="40"/>
      <c r="D31" s="40"/>
      <c r="E31" s="40"/>
      <c r="F31" s="40"/>
      <c r="G31" s="40"/>
      <c r="H31" s="40"/>
      <c r="I31" s="40"/>
      <c r="J31" s="40"/>
      <c r="K31" s="40"/>
      <c r="L31" s="40"/>
      <c r="M31" s="40"/>
      <c r="N31" s="40"/>
      <c r="O31" s="40"/>
      <c r="P31" s="56">
        <f t="shared" si="3"/>
        <v>0</v>
      </c>
    </row>
    <row r="32" spans="2:16" ht="18" customHeight="1" x14ac:dyDescent="0.4">
      <c r="B32" s="57" t="s">
        <v>79</v>
      </c>
      <c r="C32" s="52"/>
      <c r="D32" s="53"/>
      <c r="E32" s="53"/>
      <c r="F32" s="53"/>
      <c r="G32" s="53"/>
      <c r="H32" s="53"/>
      <c r="I32" s="53"/>
      <c r="J32" s="53"/>
      <c r="K32" s="53"/>
      <c r="L32" s="53"/>
      <c r="M32" s="53"/>
      <c r="N32" s="53"/>
      <c r="O32" s="53"/>
      <c r="P32" s="58">
        <f t="shared" si="3"/>
        <v>0</v>
      </c>
    </row>
    <row r="33" spans="2:16" ht="18" customHeight="1" x14ac:dyDescent="0.4">
      <c r="B33" s="55" t="s">
        <v>80</v>
      </c>
      <c r="C33" s="40"/>
      <c r="D33" s="40"/>
      <c r="E33" s="40"/>
      <c r="F33" s="40"/>
      <c r="G33" s="40"/>
      <c r="H33" s="40"/>
      <c r="I33" s="40"/>
      <c r="J33" s="40"/>
      <c r="K33" s="40"/>
      <c r="L33" s="40"/>
      <c r="M33" s="40"/>
      <c r="N33" s="40"/>
      <c r="O33" s="40"/>
      <c r="P33" s="56">
        <f t="shared" si="3"/>
        <v>0</v>
      </c>
    </row>
    <row r="34" spans="2:16" ht="18" customHeight="1" x14ac:dyDescent="0.4">
      <c r="B34" s="57"/>
      <c r="C34" s="52"/>
      <c r="D34" s="53"/>
      <c r="E34" s="53"/>
      <c r="F34" s="53"/>
      <c r="G34" s="53"/>
      <c r="H34" s="53"/>
      <c r="I34" s="53"/>
      <c r="J34" s="53"/>
      <c r="K34" s="53"/>
      <c r="L34" s="53"/>
      <c r="M34" s="53"/>
      <c r="N34" s="53"/>
      <c r="O34" s="53"/>
      <c r="P34" s="58">
        <f t="shared" si="3"/>
        <v>0</v>
      </c>
    </row>
    <row r="35" spans="2:16" ht="18" customHeight="1" x14ac:dyDescent="0.4">
      <c r="C35" s="40"/>
      <c r="D35" s="40"/>
      <c r="E35" s="40"/>
      <c r="F35" s="40"/>
      <c r="G35" s="40"/>
      <c r="H35" s="40"/>
      <c r="I35" s="40"/>
      <c r="J35" s="40"/>
      <c r="K35" s="40"/>
      <c r="L35" s="40"/>
      <c r="M35" s="40"/>
      <c r="N35" s="40"/>
      <c r="O35" s="40"/>
      <c r="P35" s="56">
        <f t="shared" si="3"/>
        <v>0</v>
      </c>
    </row>
    <row r="36" spans="2:16" ht="18" customHeight="1" thickBot="1" x14ac:dyDescent="0.45">
      <c r="B36" s="59" t="s">
        <v>81</v>
      </c>
      <c r="C36" s="47">
        <f>SUM(C17:C35)</f>
        <v>0</v>
      </c>
      <c r="D36" s="47">
        <f t="shared" ref="D36:O36" si="4">SUM(D17:D35)</f>
        <v>0</v>
      </c>
      <c r="E36" s="47">
        <f t="shared" si="4"/>
        <v>0</v>
      </c>
      <c r="F36" s="47">
        <f t="shared" si="4"/>
        <v>0</v>
      </c>
      <c r="G36" s="47">
        <f t="shared" si="4"/>
        <v>0</v>
      </c>
      <c r="H36" s="47">
        <f t="shared" si="4"/>
        <v>0</v>
      </c>
      <c r="I36" s="47">
        <f t="shared" si="4"/>
        <v>0</v>
      </c>
      <c r="J36" s="47">
        <f t="shared" si="4"/>
        <v>0</v>
      </c>
      <c r="K36" s="47">
        <f t="shared" si="4"/>
        <v>0</v>
      </c>
      <c r="L36" s="47">
        <f t="shared" si="4"/>
        <v>0</v>
      </c>
      <c r="M36" s="47">
        <f t="shared" si="4"/>
        <v>0</v>
      </c>
      <c r="N36" s="47">
        <f t="shared" si="4"/>
        <v>0</v>
      </c>
      <c r="O36" s="47">
        <f t="shared" si="4"/>
        <v>0</v>
      </c>
      <c r="P36" s="48">
        <v>0</v>
      </c>
    </row>
    <row r="37" spans="2:16" ht="18" customHeight="1" x14ac:dyDescent="0.4">
      <c r="B37" s="55" t="s">
        <v>290</v>
      </c>
      <c r="C37" s="40"/>
      <c r="D37" s="40"/>
      <c r="E37" s="40"/>
      <c r="F37" s="40"/>
      <c r="G37" s="40"/>
      <c r="H37" s="40"/>
      <c r="I37" s="40"/>
      <c r="J37" s="40"/>
      <c r="K37" s="40"/>
      <c r="L37" s="40"/>
      <c r="M37" s="40"/>
      <c r="N37" s="40"/>
      <c r="O37" s="40"/>
      <c r="P37" s="56">
        <f t="shared" ref="P37:P42" si="5">SUM(D37:O37)</f>
        <v>0</v>
      </c>
    </row>
    <row r="38" spans="2:16" ht="18" customHeight="1" x14ac:dyDescent="0.4">
      <c r="B38" s="57" t="s">
        <v>291</v>
      </c>
      <c r="C38" s="52"/>
      <c r="D38" s="53"/>
      <c r="E38" s="53"/>
      <c r="F38" s="53"/>
      <c r="G38" s="53"/>
      <c r="H38" s="53"/>
      <c r="I38" s="53"/>
      <c r="J38" s="53"/>
      <c r="K38" s="53"/>
      <c r="L38" s="53"/>
      <c r="M38" s="53"/>
      <c r="N38" s="53"/>
      <c r="O38" s="53"/>
      <c r="P38" s="58">
        <f t="shared" si="5"/>
        <v>0</v>
      </c>
    </row>
    <row r="39" spans="2:16" ht="18" customHeight="1" x14ac:dyDescent="0.4">
      <c r="B39" s="55" t="s">
        <v>292</v>
      </c>
      <c r="C39" s="40"/>
      <c r="D39" s="40"/>
      <c r="E39" s="40"/>
      <c r="F39" s="40"/>
      <c r="G39" s="40"/>
      <c r="H39" s="40"/>
      <c r="I39" s="40"/>
      <c r="J39" s="40"/>
      <c r="K39" s="40"/>
      <c r="L39" s="40"/>
      <c r="M39" s="40"/>
      <c r="N39" s="40"/>
      <c r="O39" s="40"/>
      <c r="P39" s="56">
        <f t="shared" si="5"/>
        <v>0</v>
      </c>
    </row>
    <row r="40" spans="2:16" ht="18" customHeight="1" x14ac:dyDescent="0.4">
      <c r="B40" s="57" t="s">
        <v>293</v>
      </c>
      <c r="C40" s="52"/>
      <c r="D40" s="53"/>
      <c r="E40" s="53"/>
      <c r="F40" s="53"/>
      <c r="G40" s="53"/>
      <c r="H40" s="53"/>
      <c r="I40" s="53"/>
      <c r="J40" s="53"/>
      <c r="K40" s="53"/>
      <c r="L40" s="53"/>
      <c r="M40" s="53"/>
      <c r="N40" s="53"/>
      <c r="O40" s="53"/>
      <c r="P40" s="58">
        <f t="shared" si="5"/>
        <v>0</v>
      </c>
    </row>
    <row r="41" spans="2:16" ht="18" customHeight="1" x14ac:dyDescent="0.4">
      <c r="B41" s="55" t="s">
        <v>294</v>
      </c>
      <c r="C41" s="40"/>
      <c r="D41" s="40"/>
      <c r="E41" s="40"/>
      <c r="F41" s="40"/>
      <c r="G41" s="40"/>
      <c r="H41" s="40"/>
      <c r="I41" s="40"/>
      <c r="J41" s="40"/>
      <c r="K41" s="40"/>
      <c r="L41" s="40"/>
      <c r="M41" s="40"/>
      <c r="N41" s="40"/>
      <c r="O41" s="40"/>
      <c r="P41" s="56">
        <f t="shared" si="5"/>
        <v>0</v>
      </c>
    </row>
    <row r="42" spans="2:16" ht="18" customHeight="1" x14ac:dyDescent="0.4">
      <c r="B42" s="51" t="s">
        <v>87</v>
      </c>
      <c r="C42" s="52"/>
      <c r="D42" s="53"/>
      <c r="E42" s="53"/>
      <c r="F42" s="53"/>
      <c r="G42" s="53"/>
      <c r="H42" s="53"/>
      <c r="I42" s="53"/>
      <c r="J42" s="53"/>
      <c r="K42" s="53"/>
      <c r="L42" s="53"/>
      <c r="M42" s="53"/>
      <c r="N42" s="53"/>
      <c r="O42" s="53"/>
      <c r="P42" s="58">
        <f t="shared" si="5"/>
        <v>0</v>
      </c>
    </row>
    <row r="43" spans="2:16" ht="18" customHeight="1" thickBot="1" x14ac:dyDescent="0.45">
      <c r="B43" s="60" t="s">
        <v>88</v>
      </c>
      <c r="C43" s="47">
        <f>SUM(C36:C41)</f>
        <v>0</v>
      </c>
      <c r="D43" s="47">
        <f t="shared" ref="D43:O43" si="6">SUM(D36:D41)</f>
        <v>0</v>
      </c>
      <c r="E43" s="47">
        <f t="shared" si="6"/>
        <v>0</v>
      </c>
      <c r="F43" s="47">
        <f t="shared" si="6"/>
        <v>0</v>
      </c>
      <c r="G43" s="47">
        <f t="shared" si="6"/>
        <v>0</v>
      </c>
      <c r="H43" s="47">
        <f t="shared" si="6"/>
        <v>0</v>
      </c>
      <c r="I43" s="47">
        <f t="shared" si="6"/>
        <v>0</v>
      </c>
      <c r="J43" s="47">
        <f t="shared" si="6"/>
        <v>0</v>
      </c>
      <c r="K43" s="47">
        <f t="shared" si="6"/>
        <v>0</v>
      </c>
      <c r="L43" s="47">
        <f t="shared" si="6"/>
        <v>0</v>
      </c>
      <c r="M43" s="47">
        <f t="shared" si="6"/>
        <v>0</v>
      </c>
      <c r="N43" s="47">
        <f t="shared" si="6"/>
        <v>0</v>
      </c>
      <c r="O43" s="47">
        <f t="shared" si="6"/>
        <v>0</v>
      </c>
      <c r="P43" s="48">
        <f>SUM(C43:O43)</f>
        <v>0</v>
      </c>
    </row>
    <row r="44" spans="2:16" ht="18" customHeight="1" x14ac:dyDescent="0.4">
      <c r="B44" s="61" t="s">
        <v>89</v>
      </c>
      <c r="C44" s="62"/>
      <c r="D44" s="63"/>
      <c r="E44" s="63"/>
      <c r="F44" s="63"/>
      <c r="G44" s="63"/>
      <c r="H44" s="63"/>
      <c r="I44" s="63"/>
      <c r="J44" s="63"/>
      <c r="K44" s="63"/>
      <c r="L44" s="63"/>
      <c r="M44" s="63"/>
      <c r="N44" s="63"/>
      <c r="O44" s="63"/>
      <c r="P44" s="64"/>
    </row>
    <row r="45" spans="2:16" ht="18" customHeight="1" thickBot="1" x14ac:dyDescent="0.45">
      <c r="B45" s="65" t="s">
        <v>90</v>
      </c>
      <c r="C45" s="47">
        <f t="shared" ref="C45:O45" si="7">C15-C43</f>
        <v>0</v>
      </c>
      <c r="D45" s="47">
        <f t="shared" si="7"/>
        <v>0</v>
      </c>
      <c r="E45" s="47">
        <f t="shared" si="7"/>
        <v>0</v>
      </c>
      <c r="F45" s="47">
        <f t="shared" si="7"/>
        <v>0</v>
      </c>
      <c r="G45" s="47">
        <f t="shared" si="7"/>
        <v>0</v>
      </c>
      <c r="H45" s="47">
        <f t="shared" si="7"/>
        <v>0</v>
      </c>
      <c r="I45" s="47">
        <f t="shared" si="7"/>
        <v>0</v>
      </c>
      <c r="J45" s="47">
        <f t="shared" si="7"/>
        <v>0</v>
      </c>
      <c r="K45" s="47">
        <f t="shared" si="7"/>
        <v>0</v>
      </c>
      <c r="L45" s="47">
        <f t="shared" si="7"/>
        <v>0</v>
      </c>
      <c r="M45" s="47">
        <f t="shared" si="7"/>
        <v>0</v>
      </c>
      <c r="N45" s="47">
        <f t="shared" si="7"/>
        <v>0</v>
      </c>
      <c r="O45" s="47">
        <f t="shared" si="7"/>
        <v>0</v>
      </c>
      <c r="P45" s="66"/>
    </row>
    <row r="46" spans="2:16" ht="18" customHeight="1" x14ac:dyDescent="0.4">
      <c r="B46" s="237"/>
      <c r="C46" s="238"/>
      <c r="D46" s="239"/>
      <c r="E46" s="239"/>
      <c r="F46" s="239"/>
      <c r="G46" s="239"/>
      <c r="H46" s="239"/>
      <c r="I46" s="239"/>
      <c r="J46" s="239"/>
      <c r="K46" s="239"/>
      <c r="L46" s="239"/>
      <c r="M46" s="239"/>
      <c r="N46" s="239"/>
      <c r="O46" s="239"/>
      <c r="P46" s="240"/>
    </row>
    <row r="47" spans="2:16" ht="18" customHeight="1" x14ac:dyDescent="0.4">
      <c r="B47" s="241"/>
      <c r="C47" s="52"/>
      <c r="D47" s="53"/>
      <c r="E47" s="53"/>
      <c r="F47" s="53"/>
      <c r="G47" s="53"/>
      <c r="H47" s="53"/>
      <c r="I47" s="53"/>
      <c r="J47" s="53"/>
      <c r="K47" s="53"/>
      <c r="L47" s="53"/>
      <c r="M47" s="53"/>
      <c r="N47" s="53"/>
      <c r="O47" s="53"/>
      <c r="P47" s="54"/>
    </row>
    <row r="48" spans="2:16" ht="18" customHeight="1" x14ac:dyDescent="0.4">
      <c r="B48" s="242"/>
      <c r="C48" s="42"/>
      <c r="D48" s="42"/>
      <c r="E48" s="42"/>
      <c r="F48" s="42"/>
      <c r="G48" s="42"/>
      <c r="H48" s="42"/>
      <c r="I48" s="42"/>
      <c r="J48" s="42"/>
      <c r="K48" s="42"/>
      <c r="L48" s="42"/>
      <c r="M48" s="42"/>
      <c r="N48" s="42"/>
      <c r="O48" s="42"/>
      <c r="P48" s="45"/>
    </row>
    <row r="49" spans="2:16" ht="18" customHeight="1" x14ac:dyDescent="0.4">
      <c r="B49" s="243"/>
      <c r="C49" s="244"/>
      <c r="D49" s="52"/>
      <c r="E49" s="53"/>
      <c r="F49" s="53"/>
      <c r="G49" s="53"/>
      <c r="H49" s="53"/>
      <c r="I49" s="53"/>
      <c r="J49" s="53"/>
      <c r="K49" s="53"/>
      <c r="L49" s="53"/>
      <c r="M49" s="53"/>
      <c r="N49" s="53"/>
      <c r="O49" s="53"/>
      <c r="P49" s="54"/>
    </row>
    <row r="50" spans="2:16" ht="18" customHeight="1" x14ac:dyDescent="0.4">
      <c r="B50" s="243"/>
      <c r="C50" s="244"/>
      <c r="D50" s="42"/>
      <c r="E50" s="42"/>
      <c r="F50" s="42"/>
      <c r="G50" s="42"/>
      <c r="H50" s="42"/>
      <c r="I50" s="42"/>
      <c r="J50" s="42"/>
      <c r="K50" s="42"/>
      <c r="L50" s="42"/>
      <c r="M50" s="42"/>
      <c r="N50" s="42"/>
      <c r="O50" s="42"/>
      <c r="P50" s="54"/>
    </row>
    <row r="51" spans="2:16" ht="18" customHeight="1" x14ac:dyDescent="0.4">
      <c r="B51" s="243"/>
      <c r="C51" s="244"/>
      <c r="D51" s="52"/>
      <c r="E51" s="53"/>
      <c r="F51" s="53"/>
      <c r="G51" s="53"/>
      <c r="H51" s="53"/>
      <c r="I51" s="53"/>
      <c r="J51" s="53"/>
      <c r="K51" s="53"/>
      <c r="L51" s="53"/>
      <c r="M51" s="53"/>
      <c r="N51" s="53"/>
      <c r="O51" s="53"/>
      <c r="P51" s="54"/>
    </row>
    <row r="52" spans="2:16" ht="18" customHeight="1" x14ac:dyDescent="0.4">
      <c r="B52" s="243"/>
      <c r="C52" s="244"/>
      <c r="D52" s="42"/>
      <c r="E52" s="42"/>
      <c r="F52" s="42"/>
      <c r="G52" s="42"/>
      <c r="H52" s="42"/>
      <c r="I52" s="42"/>
      <c r="J52" s="42"/>
      <c r="K52" s="42"/>
      <c r="L52" s="42"/>
      <c r="M52" s="42"/>
      <c r="N52" s="42"/>
      <c r="O52" s="42"/>
      <c r="P52" s="54"/>
    </row>
    <row r="53" spans="2:16" ht="18" customHeight="1" x14ac:dyDescent="0.4">
      <c r="B53" s="243"/>
      <c r="C53" s="244"/>
      <c r="D53" s="52"/>
      <c r="E53" s="53"/>
      <c r="F53" s="53"/>
      <c r="G53" s="53"/>
      <c r="H53" s="53"/>
      <c r="I53" s="53"/>
      <c r="J53" s="53"/>
      <c r="K53" s="53"/>
      <c r="L53" s="53"/>
      <c r="M53" s="53"/>
      <c r="N53" s="53"/>
      <c r="O53" s="53"/>
      <c r="P53" s="54"/>
    </row>
    <row r="54" spans="2:16" ht="18" customHeight="1" x14ac:dyDescent="0.4">
      <c r="B54" s="243"/>
      <c r="C54" s="244"/>
      <c r="D54" s="42"/>
      <c r="E54" s="42"/>
      <c r="F54" s="42"/>
      <c r="G54" s="42"/>
      <c r="H54" s="42"/>
      <c r="I54" s="42"/>
      <c r="J54" s="42"/>
      <c r="K54" s="42"/>
      <c r="L54" s="42"/>
      <c r="M54" s="42"/>
      <c r="N54" s="42"/>
      <c r="O54" s="42"/>
      <c r="P54" s="54"/>
    </row>
    <row r="57" spans="2:16" ht="18" customHeight="1" x14ac:dyDescent="0.4">
      <c r="B57" s="73"/>
    </row>
    <row r="58" spans="2:16" ht="18" customHeight="1" x14ac:dyDescent="0.4">
      <c r="B58" s="74"/>
      <c r="C58" s="75"/>
    </row>
    <row r="59" spans="2:16" ht="18" customHeight="1" x14ac:dyDescent="0.4">
      <c r="B59" s="74"/>
      <c r="C59" s="76"/>
    </row>
    <row r="60" spans="2:16" ht="18" customHeight="1" x14ac:dyDescent="0.4">
      <c r="B60" s="74"/>
      <c r="C60" s="76"/>
    </row>
    <row r="61" spans="2:16" ht="18" customHeight="1" x14ac:dyDescent="0.4">
      <c r="B61" s="74"/>
      <c r="C61" s="76"/>
    </row>
  </sheetData>
  <mergeCells count="1">
    <mergeCell ref="B2:P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4A87"/>
    <pageSetUpPr fitToPage="1"/>
  </sheetPr>
  <dimension ref="A1:AO67"/>
  <sheetViews>
    <sheetView zoomScale="130" zoomScaleNormal="130" workbookViewId="0">
      <selection activeCell="AM4" sqref="AM4:AN46"/>
    </sheetView>
  </sheetViews>
  <sheetFormatPr defaultColWidth="8.5703125" defaultRowHeight="11.65" x14ac:dyDescent="0.4"/>
  <cols>
    <col min="1" max="1" width="4.78515625" style="20" customWidth="1"/>
    <col min="2" max="2" width="5" style="19" customWidth="1"/>
    <col min="3" max="3" width="5.42578125" style="19" customWidth="1"/>
    <col min="4" max="4" width="50.2109375" style="19" customWidth="1"/>
    <col min="5" max="5" width="15" style="19" customWidth="1"/>
    <col min="6" max="11" width="11" style="19"/>
    <col min="12" max="16" width="10.5703125" style="19"/>
    <col min="17" max="17" width="12.5703125" style="19" bestFit="1" customWidth="1"/>
    <col min="18" max="40" width="14.5703125" style="19" customWidth="1"/>
    <col min="41" max="16384" width="8.5703125" style="19"/>
  </cols>
  <sheetData>
    <row r="1" spans="1:41" s="15" customFormat="1" ht="30" customHeight="1" thickBot="1" x14ac:dyDescent="0.85">
      <c r="A1" s="451" t="s">
        <v>300</v>
      </c>
      <c r="B1" s="451"/>
      <c r="C1" s="451"/>
      <c r="D1" s="451"/>
      <c r="E1" s="276">
        <v>2021</v>
      </c>
      <c r="F1" s="253"/>
      <c r="G1" s="253"/>
      <c r="H1" s="253"/>
      <c r="I1" s="254"/>
      <c r="J1" s="254"/>
      <c r="K1" s="254"/>
      <c r="L1" s="252"/>
      <c r="M1" s="252"/>
      <c r="N1" s="252"/>
      <c r="O1" s="252"/>
      <c r="P1" s="270"/>
      <c r="Q1" s="252">
        <v>2022</v>
      </c>
      <c r="R1" s="252"/>
      <c r="S1" s="252"/>
      <c r="T1" s="252"/>
      <c r="U1" s="252"/>
      <c r="V1" s="252"/>
      <c r="W1" s="252"/>
      <c r="X1" s="252"/>
      <c r="Y1" s="252"/>
      <c r="Z1" s="252"/>
      <c r="AA1" s="252"/>
      <c r="AB1" s="252"/>
      <c r="AC1" s="276">
        <v>2023</v>
      </c>
      <c r="AD1" s="252"/>
      <c r="AE1" s="252"/>
      <c r="AF1" s="252"/>
      <c r="AG1" s="252"/>
      <c r="AH1" s="252"/>
      <c r="AI1" s="252"/>
      <c r="AJ1" s="252"/>
      <c r="AK1" s="252"/>
      <c r="AL1" s="252"/>
      <c r="AM1" s="252"/>
      <c r="AN1" s="252"/>
      <c r="AO1" s="251"/>
    </row>
    <row r="2" spans="1:41" ht="18" customHeight="1" thickTop="1" thickBot="1" x14ac:dyDescent="0.5">
      <c r="A2" s="259" t="s">
        <v>301</v>
      </c>
      <c r="B2" s="258" t="s">
        <v>302</v>
      </c>
      <c r="C2" s="259"/>
      <c r="D2" s="260"/>
      <c r="E2" s="275" t="s">
        <v>309</v>
      </c>
      <c r="F2" s="274" t="s">
        <v>310</v>
      </c>
      <c r="G2" s="274" t="s">
        <v>311</v>
      </c>
      <c r="H2" s="274" t="s">
        <v>312</v>
      </c>
      <c r="I2" s="274" t="s">
        <v>111</v>
      </c>
      <c r="J2" s="274" t="s">
        <v>313</v>
      </c>
      <c r="K2" s="274" t="s">
        <v>303</v>
      </c>
      <c r="L2" s="274" t="s">
        <v>304</v>
      </c>
      <c r="M2" s="274" t="s">
        <v>305</v>
      </c>
      <c r="N2" s="274" t="s">
        <v>306</v>
      </c>
      <c r="O2" s="274" t="s">
        <v>307</v>
      </c>
      <c r="P2" s="274" t="s">
        <v>308</v>
      </c>
      <c r="Q2" s="275" t="s">
        <v>309</v>
      </c>
      <c r="R2" s="274" t="s">
        <v>310</v>
      </c>
      <c r="S2" s="274" t="s">
        <v>311</v>
      </c>
      <c r="T2" s="274" t="s">
        <v>312</v>
      </c>
      <c r="U2" s="274" t="s">
        <v>111</v>
      </c>
      <c r="V2" s="274" t="s">
        <v>313</v>
      </c>
      <c r="W2" s="274" t="s">
        <v>303</v>
      </c>
      <c r="X2" s="274" t="s">
        <v>304</v>
      </c>
      <c r="Y2" s="274" t="s">
        <v>305</v>
      </c>
      <c r="Z2" s="274" t="s">
        <v>306</v>
      </c>
      <c r="AA2" s="274" t="s">
        <v>307</v>
      </c>
      <c r="AB2" s="274" t="s">
        <v>308</v>
      </c>
      <c r="AC2" s="275" t="s">
        <v>309</v>
      </c>
      <c r="AD2" s="274" t="s">
        <v>310</v>
      </c>
      <c r="AE2" s="274" t="s">
        <v>311</v>
      </c>
      <c r="AF2" s="274" t="s">
        <v>312</v>
      </c>
      <c r="AG2" s="274" t="s">
        <v>111</v>
      </c>
      <c r="AH2" s="274" t="s">
        <v>313</v>
      </c>
      <c r="AI2" s="274" t="s">
        <v>303</v>
      </c>
      <c r="AJ2" s="274" t="s">
        <v>304</v>
      </c>
      <c r="AK2" s="274" t="s">
        <v>305</v>
      </c>
      <c r="AL2" s="274" t="s">
        <v>306</v>
      </c>
      <c r="AM2" s="274" t="s">
        <v>307</v>
      </c>
      <c r="AN2" s="424" t="s">
        <v>308</v>
      </c>
    </row>
    <row r="3" spans="1:41" ht="18" customHeight="1" x14ac:dyDescent="0.4">
      <c r="A3" s="245">
        <v>3</v>
      </c>
      <c r="B3" s="245"/>
      <c r="C3" s="245" t="s">
        <v>314</v>
      </c>
      <c r="D3" s="246"/>
      <c r="E3" s="277">
        <v>0</v>
      </c>
      <c r="F3" s="247"/>
      <c r="G3" s="247"/>
      <c r="H3" s="247"/>
      <c r="I3" s="247"/>
      <c r="J3" s="247"/>
      <c r="K3" s="247"/>
      <c r="L3" s="247"/>
      <c r="M3" s="247"/>
      <c r="N3" s="247"/>
      <c r="O3" s="247"/>
      <c r="P3" s="271"/>
      <c r="Q3" s="303"/>
      <c r="R3" s="448"/>
      <c r="S3" s="446"/>
      <c r="T3" s="446"/>
      <c r="U3" s="446"/>
      <c r="V3" s="446"/>
      <c r="W3" s="446"/>
      <c r="X3" s="446"/>
      <c r="Y3" s="446"/>
      <c r="Z3" s="446"/>
      <c r="AA3" s="446"/>
      <c r="AB3" s="423"/>
      <c r="AC3" s="447"/>
      <c r="AD3" s="303"/>
      <c r="AE3" s="446"/>
      <c r="AF3" s="446"/>
      <c r="AG3" s="446"/>
      <c r="AH3" s="446"/>
      <c r="AI3" s="446"/>
      <c r="AJ3" s="446"/>
      <c r="AK3" s="446"/>
      <c r="AL3" s="446"/>
      <c r="AM3" s="446">
        <f t="shared" ref="AM3:AN3" si="0">AL3*1.03</f>
        <v>0</v>
      </c>
      <c r="AN3" s="423">
        <f t="shared" si="0"/>
        <v>0</v>
      </c>
    </row>
    <row r="4" spans="1:41" s="25" customFormat="1" ht="27" customHeight="1" x14ac:dyDescent="0.5">
      <c r="A4" s="245">
        <v>4</v>
      </c>
      <c r="B4" s="255"/>
      <c r="C4" s="255" t="s">
        <v>315</v>
      </c>
      <c r="D4" s="256"/>
      <c r="E4" s="277">
        <v>0</v>
      </c>
      <c r="F4" s="247"/>
      <c r="G4" s="247"/>
      <c r="H4" s="247"/>
      <c r="I4" s="247"/>
      <c r="J4" s="247"/>
      <c r="K4" s="247"/>
      <c r="L4" s="247"/>
      <c r="M4" s="247"/>
      <c r="N4" s="247"/>
      <c r="O4" s="247"/>
      <c r="P4" s="271"/>
      <c r="Q4" s="247"/>
      <c r="R4" s="247"/>
      <c r="S4" s="247"/>
      <c r="T4" s="247"/>
      <c r="U4" s="247"/>
      <c r="V4" s="247"/>
      <c r="W4" s="247"/>
      <c r="X4" s="247"/>
      <c r="Y4" s="247"/>
      <c r="Z4" s="247"/>
      <c r="AA4" s="247"/>
      <c r="AB4" s="271"/>
      <c r="AC4" s="303"/>
      <c r="AD4" s="247"/>
      <c r="AE4" s="247"/>
      <c r="AF4" s="247"/>
      <c r="AG4" s="247"/>
      <c r="AH4" s="247"/>
      <c r="AI4" s="247"/>
      <c r="AJ4" s="247"/>
      <c r="AK4" s="247"/>
      <c r="AL4" s="247"/>
      <c r="AM4" s="247"/>
      <c r="AN4" s="271"/>
    </row>
    <row r="5" spans="1:41" ht="18" customHeight="1" x14ac:dyDescent="0.5">
      <c r="A5" s="245">
        <v>5</v>
      </c>
      <c r="B5" s="255"/>
      <c r="C5" s="255" t="s">
        <v>316</v>
      </c>
      <c r="D5" s="256"/>
      <c r="E5" s="277">
        <v>0</v>
      </c>
      <c r="F5" s="247"/>
      <c r="G5" s="247"/>
      <c r="H5" s="422"/>
      <c r="I5" s="247"/>
      <c r="J5" s="247"/>
      <c r="L5" s="247"/>
      <c r="M5" s="247"/>
      <c r="N5" s="247"/>
      <c r="O5" s="247"/>
      <c r="P5" s="271"/>
      <c r="Q5" s="303"/>
      <c r="R5" s="303"/>
      <c r="S5" s="303"/>
      <c r="T5" s="303"/>
      <c r="U5" s="303"/>
      <c r="V5" s="303"/>
      <c r="W5" s="303"/>
      <c r="X5" s="303"/>
      <c r="Y5" s="303"/>
      <c r="Z5" s="303"/>
      <c r="AA5" s="303"/>
      <c r="AB5" s="271"/>
      <c r="AC5" s="303"/>
      <c r="AD5" s="303"/>
      <c r="AE5" s="303"/>
      <c r="AF5" s="303"/>
      <c r="AG5" s="303"/>
      <c r="AH5" s="303"/>
      <c r="AI5" s="303"/>
      <c r="AJ5" s="303"/>
      <c r="AK5" s="303"/>
      <c r="AL5" s="303"/>
      <c r="AM5" s="303"/>
      <c r="AN5" s="271"/>
    </row>
    <row r="6" spans="1:41" ht="18" customHeight="1" x14ac:dyDescent="0.5">
      <c r="A6" s="245">
        <v>6</v>
      </c>
      <c r="B6" s="255"/>
      <c r="C6" s="255" t="s">
        <v>317</v>
      </c>
      <c r="D6" s="256"/>
      <c r="E6" s="277">
        <v>0</v>
      </c>
      <c r="F6" s="247"/>
      <c r="G6" s="247"/>
      <c r="H6" s="247"/>
      <c r="I6" s="247"/>
      <c r="J6" s="247"/>
      <c r="K6" s="247"/>
      <c r="L6" s="247"/>
      <c r="M6" s="247"/>
      <c r="N6" s="247"/>
      <c r="O6" s="247"/>
      <c r="P6" s="271"/>
      <c r="Q6" s="247"/>
      <c r="R6" s="303"/>
      <c r="S6" s="303"/>
      <c r="T6" s="303"/>
      <c r="U6" s="303"/>
      <c r="V6" s="303"/>
      <c r="W6" s="303"/>
      <c r="X6" s="303"/>
      <c r="Y6" s="303"/>
      <c r="Z6" s="303"/>
      <c r="AA6" s="303"/>
      <c r="AB6" s="271"/>
      <c r="AC6" s="303"/>
      <c r="AD6" s="247"/>
      <c r="AE6" s="247"/>
      <c r="AF6" s="247"/>
      <c r="AG6" s="247"/>
      <c r="AH6" s="247"/>
      <c r="AI6" s="247"/>
      <c r="AJ6" s="247"/>
      <c r="AK6" s="247"/>
      <c r="AL6" s="247"/>
      <c r="AM6" s="247"/>
      <c r="AN6" s="271"/>
    </row>
    <row r="7" spans="1:41" ht="18" customHeight="1" x14ac:dyDescent="0.5">
      <c r="A7" s="245"/>
      <c r="B7" s="255"/>
      <c r="C7" s="255" t="s">
        <v>419</v>
      </c>
      <c r="D7" s="256"/>
      <c r="E7" s="277"/>
      <c r="F7" s="247"/>
      <c r="G7" s="247"/>
      <c r="H7" s="247"/>
      <c r="I7" s="247"/>
      <c r="J7" s="247"/>
      <c r="K7" s="247"/>
      <c r="L7" s="247"/>
      <c r="M7" s="247"/>
      <c r="N7" s="247"/>
      <c r="O7" s="247"/>
      <c r="P7" s="271"/>
      <c r="Q7" s="247"/>
      <c r="R7" s="303"/>
      <c r="S7" s="303"/>
      <c r="T7" s="303"/>
      <c r="U7" s="303"/>
      <c r="V7" s="303"/>
      <c r="W7" s="303"/>
      <c r="X7" s="303"/>
      <c r="Y7" s="303"/>
      <c r="Z7" s="303"/>
      <c r="AA7" s="303"/>
      <c r="AB7" s="271"/>
      <c r="AC7" s="303"/>
      <c r="AD7" s="247"/>
      <c r="AE7" s="247"/>
      <c r="AF7" s="247"/>
      <c r="AG7" s="247"/>
      <c r="AH7" s="247"/>
      <c r="AI7" s="247"/>
      <c r="AJ7" s="247"/>
      <c r="AK7" s="247"/>
      <c r="AL7" s="247"/>
      <c r="AM7" s="247"/>
      <c r="AN7" s="271"/>
    </row>
    <row r="8" spans="1:41" ht="18" customHeight="1" x14ac:dyDescent="0.5">
      <c r="A8" s="245"/>
      <c r="B8" s="255"/>
      <c r="C8" s="255" t="s">
        <v>420</v>
      </c>
      <c r="D8" s="256"/>
      <c r="E8" s="277"/>
      <c r="F8" s="247"/>
      <c r="G8" s="247"/>
      <c r="H8" s="247"/>
      <c r="I8" s="247"/>
      <c r="J8" s="247"/>
      <c r="K8" s="247"/>
      <c r="L8" s="247"/>
      <c r="M8" s="247"/>
      <c r="N8" s="247"/>
      <c r="O8" s="247"/>
      <c r="P8" s="271"/>
      <c r="Q8" s="247"/>
      <c r="R8" s="303"/>
      <c r="S8" s="303"/>
      <c r="T8" s="303"/>
      <c r="U8" s="303"/>
      <c r="V8" s="303"/>
      <c r="W8" s="303"/>
      <c r="X8" s="303"/>
      <c r="Y8" s="303"/>
      <c r="Z8" s="303"/>
      <c r="AA8" s="303"/>
      <c r="AB8" s="271"/>
      <c r="AC8" s="303"/>
      <c r="AD8" s="247"/>
      <c r="AE8" s="247"/>
      <c r="AF8" s="247"/>
      <c r="AG8" s="247"/>
      <c r="AH8" s="247"/>
      <c r="AI8" s="247"/>
      <c r="AJ8" s="247"/>
      <c r="AK8" s="247"/>
      <c r="AL8" s="247"/>
      <c r="AM8" s="247"/>
      <c r="AN8" s="271"/>
    </row>
    <row r="9" spans="1:41" ht="18" customHeight="1" x14ac:dyDescent="0.5">
      <c r="A9" s="245">
        <v>7</v>
      </c>
      <c r="B9" s="255"/>
      <c r="C9" s="255" t="s">
        <v>318</v>
      </c>
      <c r="D9" s="256"/>
      <c r="E9" s="277">
        <v>0</v>
      </c>
      <c r="F9" s="247"/>
      <c r="G9" s="247"/>
      <c r="H9" s="422"/>
      <c r="I9" s="247"/>
      <c r="J9" s="247"/>
      <c r="K9" s="247"/>
      <c r="L9" s="247"/>
      <c r="M9" s="247"/>
      <c r="N9" s="247"/>
      <c r="O9" s="247"/>
      <c r="P9" s="271"/>
      <c r="Q9" s="247"/>
      <c r="R9" s="303"/>
      <c r="S9" s="303"/>
      <c r="T9" s="303"/>
      <c r="U9" s="303"/>
      <c r="V9" s="303"/>
      <c r="W9" s="303"/>
      <c r="X9" s="303"/>
      <c r="Y9" s="303"/>
      <c r="Z9" s="303"/>
      <c r="AA9" s="303"/>
      <c r="AB9" s="271"/>
      <c r="AC9" s="303"/>
      <c r="AD9" s="247"/>
      <c r="AE9" s="247"/>
      <c r="AF9" s="247"/>
      <c r="AG9" s="247"/>
      <c r="AH9" s="247"/>
      <c r="AI9" s="247"/>
      <c r="AJ9" s="247"/>
      <c r="AK9" s="247"/>
      <c r="AL9" s="247"/>
      <c r="AM9" s="247"/>
      <c r="AN9" s="271"/>
    </row>
    <row r="10" spans="1:41" ht="18" customHeight="1" x14ac:dyDescent="0.5">
      <c r="A10" s="245">
        <v>8</v>
      </c>
      <c r="B10" s="255"/>
      <c r="C10" s="255" t="s">
        <v>319</v>
      </c>
      <c r="D10" s="256"/>
      <c r="E10" s="277">
        <v>0</v>
      </c>
      <c r="F10" s="247"/>
      <c r="G10" s="247"/>
      <c r="H10" s="247"/>
      <c r="I10" s="247"/>
      <c r="J10" s="247"/>
      <c r="K10" s="247"/>
      <c r="L10" s="247"/>
      <c r="M10" s="247"/>
      <c r="N10" s="247"/>
      <c r="O10" s="247"/>
      <c r="P10" s="271"/>
      <c r="Q10" s="247"/>
      <c r="R10" s="303"/>
      <c r="S10" s="303"/>
      <c r="T10" s="303"/>
      <c r="U10" s="303"/>
      <c r="V10" s="303"/>
      <c r="W10" s="303"/>
      <c r="X10" s="303"/>
      <c r="Y10" s="303"/>
      <c r="Z10" s="303"/>
      <c r="AA10" s="303"/>
      <c r="AB10" s="271"/>
      <c r="AC10" s="303"/>
      <c r="AD10" s="247"/>
      <c r="AE10" s="247"/>
      <c r="AF10" s="247"/>
      <c r="AG10" s="247"/>
      <c r="AH10" s="247"/>
      <c r="AI10" s="247"/>
      <c r="AJ10" s="247"/>
      <c r="AK10" s="247"/>
      <c r="AL10" s="247"/>
      <c r="AM10" s="247"/>
      <c r="AN10" s="271"/>
    </row>
    <row r="11" spans="1:41" ht="18" customHeight="1" thickBot="1" x14ac:dyDescent="0.55000000000000004">
      <c r="A11" s="261">
        <v>9</v>
      </c>
      <c r="B11" s="262" t="s">
        <v>320</v>
      </c>
      <c r="C11" s="263"/>
      <c r="D11" s="264"/>
      <c r="E11" s="278">
        <f>SUM(E3:E10)</f>
        <v>0</v>
      </c>
      <c r="F11" s="265"/>
      <c r="G11" s="265"/>
      <c r="H11" s="265"/>
      <c r="I11" s="265"/>
      <c r="J11" s="265"/>
      <c r="K11" s="265"/>
      <c r="L11" s="265"/>
      <c r="M11" s="265"/>
      <c r="N11" s="265"/>
      <c r="O11" s="265"/>
      <c r="P11" s="272"/>
      <c r="Q11" s="265"/>
      <c r="R11" s="265"/>
      <c r="S11" s="265"/>
      <c r="T11" s="265"/>
      <c r="U11" s="265"/>
      <c r="V11" s="265"/>
      <c r="W11" s="265"/>
      <c r="X11" s="265"/>
      <c r="Y11" s="265"/>
      <c r="Z11" s="265"/>
      <c r="AA11" s="265"/>
      <c r="AB11" s="272"/>
      <c r="AC11" s="265"/>
      <c r="AD11" s="265"/>
      <c r="AE11" s="265"/>
      <c r="AF11" s="265"/>
      <c r="AG11" s="265"/>
      <c r="AH11" s="265"/>
      <c r="AI11" s="265"/>
      <c r="AJ11" s="265"/>
      <c r="AK11" s="265"/>
      <c r="AL11" s="265"/>
      <c r="AM11" s="265"/>
      <c r="AN11" s="272"/>
    </row>
    <row r="12" spans="1:41" ht="18" customHeight="1" x14ac:dyDescent="0.5">
      <c r="A12" s="245">
        <v>10</v>
      </c>
      <c r="B12" s="257" t="s">
        <v>321</v>
      </c>
      <c r="C12" s="255"/>
      <c r="D12" s="256"/>
      <c r="E12" s="277"/>
      <c r="F12" s="247"/>
      <c r="G12" s="247"/>
      <c r="H12" s="247"/>
      <c r="I12" s="247"/>
      <c r="J12" s="247"/>
      <c r="K12" s="247"/>
      <c r="L12" s="247"/>
      <c r="M12" s="247"/>
      <c r="N12" s="247"/>
      <c r="O12" s="247"/>
      <c r="P12" s="423"/>
      <c r="Q12" s="247"/>
      <c r="R12" s="247"/>
      <c r="S12" s="247"/>
      <c r="T12" s="247"/>
      <c r="U12" s="247"/>
      <c r="V12" s="247"/>
      <c r="W12" s="247"/>
      <c r="X12" s="247"/>
      <c r="Y12" s="247"/>
      <c r="Z12" s="247"/>
      <c r="AA12" s="247"/>
      <c r="AB12" s="271"/>
      <c r="AC12" s="247"/>
      <c r="AD12" s="247"/>
      <c r="AE12" s="247"/>
      <c r="AF12" s="247"/>
      <c r="AG12" s="247"/>
      <c r="AH12" s="247"/>
      <c r="AI12" s="247"/>
      <c r="AJ12" s="247"/>
      <c r="AK12" s="247"/>
      <c r="AL12" s="247"/>
      <c r="AM12" s="247"/>
      <c r="AN12" s="271"/>
    </row>
    <row r="13" spans="1:41" ht="18" customHeight="1" x14ac:dyDescent="0.5">
      <c r="A13" s="245">
        <v>11</v>
      </c>
      <c r="B13" s="255"/>
      <c r="C13" s="255" t="s">
        <v>322</v>
      </c>
      <c r="D13" s="256"/>
      <c r="E13" s="277"/>
      <c r="F13" s="247"/>
      <c r="G13" s="247"/>
      <c r="H13" s="247"/>
      <c r="I13" s="247"/>
      <c r="J13" s="247"/>
      <c r="K13" s="247"/>
      <c r="L13" s="247"/>
      <c r="M13" s="247"/>
      <c r="N13" s="247"/>
      <c r="O13" s="247"/>
      <c r="P13" s="271"/>
      <c r="Q13" s="425"/>
      <c r="R13" s="303"/>
      <c r="S13" s="303"/>
      <c r="T13" s="303"/>
      <c r="U13" s="303"/>
      <c r="V13" s="303"/>
      <c r="W13" s="303"/>
      <c r="X13" s="303"/>
      <c r="Y13" s="303"/>
      <c r="Z13" s="303"/>
      <c r="AA13" s="303"/>
      <c r="AB13" s="271"/>
      <c r="AC13" s="303"/>
      <c r="AD13" s="247"/>
      <c r="AE13" s="247"/>
      <c r="AF13" s="247"/>
      <c r="AG13" s="247"/>
      <c r="AH13" s="247"/>
      <c r="AI13" s="247"/>
      <c r="AJ13" s="247"/>
      <c r="AK13" s="247"/>
      <c r="AL13" s="247"/>
      <c r="AM13" s="247"/>
      <c r="AN13" s="271"/>
    </row>
    <row r="14" spans="1:41" ht="18" customHeight="1" x14ac:dyDescent="0.5">
      <c r="A14" s="245">
        <v>12</v>
      </c>
      <c r="B14" s="255"/>
      <c r="C14" s="255"/>
      <c r="D14" s="256" t="s">
        <v>350</v>
      </c>
      <c r="E14" s="277">
        <v>0</v>
      </c>
      <c r="F14" s="247"/>
      <c r="G14" s="247"/>
      <c r="H14" s="247"/>
      <c r="I14" s="247"/>
      <c r="J14" s="247"/>
      <c r="K14" s="247"/>
      <c r="L14" s="247"/>
      <c r="M14" s="247"/>
      <c r="N14" s="247"/>
      <c r="O14" s="247"/>
      <c r="P14" s="271"/>
      <c r="Q14" s="303"/>
      <c r="R14" s="247"/>
      <c r="S14" s="247"/>
      <c r="T14" s="247"/>
      <c r="U14" s="247"/>
      <c r="V14" s="247"/>
      <c r="W14" s="247"/>
      <c r="X14" s="247"/>
      <c r="Y14" s="247"/>
      <c r="Z14" s="247"/>
      <c r="AA14" s="247"/>
      <c r="AB14" s="271"/>
      <c r="AC14" s="247"/>
      <c r="AD14" s="247"/>
      <c r="AE14" s="247"/>
      <c r="AF14" s="247"/>
      <c r="AG14" s="247"/>
      <c r="AH14" s="247"/>
      <c r="AI14" s="247"/>
      <c r="AJ14" s="247"/>
      <c r="AK14" s="247"/>
      <c r="AL14" s="247"/>
      <c r="AM14" s="247"/>
      <c r="AN14" s="271"/>
    </row>
    <row r="15" spans="1:41" ht="18" customHeight="1" x14ac:dyDescent="0.5">
      <c r="A15" s="245"/>
      <c r="B15" s="255"/>
      <c r="C15" s="255"/>
      <c r="D15" s="256" t="s">
        <v>352</v>
      </c>
      <c r="E15" s="277"/>
      <c r="F15" s="247"/>
      <c r="G15" s="247"/>
      <c r="H15" s="247"/>
      <c r="I15" s="247"/>
      <c r="J15" s="247"/>
      <c r="K15" s="247"/>
      <c r="L15" s="247"/>
      <c r="M15" s="247"/>
      <c r="N15" s="247"/>
      <c r="O15" s="247"/>
      <c r="P15" s="271"/>
      <c r="Q15" s="303"/>
      <c r="R15" s="247"/>
      <c r="S15" s="247"/>
      <c r="T15" s="247"/>
      <c r="U15" s="247"/>
      <c r="V15" s="247"/>
      <c r="W15" s="247"/>
      <c r="X15" s="247"/>
      <c r="Y15" s="247"/>
      <c r="Z15" s="247"/>
      <c r="AA15" s="247"/>
      <c r="AB15" s="271"/>
      <c r="AC15" s="247"/>
      <c r="AD15" s="247"/>
      <c r="AE15" s="247"/>
      <c r="AF15" s="247"/>
      <c r="AG15" s="247"/>
      <c r="AH15" s="247"/>
      <c r="AI15" s="247"/>
      <c r="AJ15" s="247"/>
      <c r="AK15" s="247"/>
      <c r="AL15" s="247"/>
      <c r="AM15" s="247"/>
      <c r="AN15" s="271"/>
    </row>
    <row r="16" spans="1:41" ht="18" customHeight="1" x14ac:dyDescent="0.5">
      <c r="A16" s="245">
        <v>13</v>
      </c>
      <c r="B16" s="255"/>
      <c r="C16" s="255"/>
      <c r="D16" s="256" t="s">
        <v>351</v>
      </c>
      <c r="E16" s="277">
        <v>0</v>
      </c>
      <c r="F16" s="247"/>
      <c r="G16" s="247"/>
      <c r="H16" s="247"/>
      <c r="I16" s="247"/>
      <c r="J16" s="247"/>
      <c r="K16" s="247"/>
      <c r="L16" s="247"/>
      <c r="M16" s="247"/>
      <c r="N16" s="247"/>
      <c r="O16" s="247"/>
      <c r="P16" s="271"/>
      <c r="Q16" s="303"/>
      <c r="R16" s="247"/>
      <c r="S16" s="247"/>
      <c r="T16" s="247"/>
      <c r="U16" s="247"/>
      <c r="V16" s="247"/>
      <c r="W16" s="247"/>
      <c r="X16" s="247"/>
      <c r="Y16" s="247"/>
      <c r="Z16" s="247"/>
      <c r="AA16" s="247"/>
      <c r="AB16" s="271"/>
      <c r="AC16" s="247"/>
      <c r="AD16" s="247"/>
      <c r="AE16" s="247"/>
      <c r="AF16" s="247"/>
      <c r="AG16" s="247"/>
      <c r="AH16" s="247"/>
      <c r="AI16" s="247"/>
      <c r="AJ16" s="247"/>
      <c r="AK16" s="247"/>
      <c r="AL16" s="247"/>
      <c r="AM16" s="247"/>
      <c r="AN16" s="271"/>
    </row>
    <row r="17" spans="1:40" ht="18" customHeight="1" x14ac:dyDescent="0.5">
      <c r="A17" s="245">
        <v>14</v>
      </c>
      <c r="B17" s="255"/>
      <c r="C17" s="255" t="s">
        <v>323</v>
      </c>
      <c r="D17" s="256"/>
      <c r="E17" s="277"/>
      <c r="F17" s="247"/>
      <c r="G17" s="247"/>
      <c r="H17" s="247"/>
      <c r="I17" s="247"/>
      <c r="J17" s="247"/>
      <c r="K17" s="247"/>
      <c r="L17" s="247"/>
      <c r="M17" s="247"/>
      <c r="N17" s="247"/>
      <c r="O17" s="247"/>
      <c r="P17" s="271"/>
      <c r="Q17" s="247"/>
      <c r="R17" s="303"/>
      <c r="S17" s="303"/>
      <c r="T17" s="303"/>
      <c r="U17" s="303"/>
      <c r="V17" s="303"/>
      <c r="W17" s="303"/>
      <c r="X17" s="303"/>
      <c r="Y17" s="303"/>
      <c r="Z17" s="303"/>
      <c r="AA17" s="303"/>
      <c r="AB17" s="271"/>
      <c r="AC17" s="303"/>
      <c r="AD17" s="303"/>
      <c r="AE17" s="303"/>
      <c r="AF17" s="303"/>
      <c r="AG17" s="303"/>
      <c r="AH17" s="303"/>
      <c r="AI17" s="303"/>
      <c r="AJ17" s="303"/>
      <c r="AK17" s="303"/>
      <c r="AL17" s="303"/>
      <c r="AM17" s="303"/>
      <c r="AN17" s="271"/>
    </row>
    <row r="18" spans="1:40" ht="18" customHeight="1" x14ac:dyDescent="0.5">
      <c r="A18" s="245">
        <v>15</v>
      </c>
      <c r="B18" s="255"/>
      <c r="C18" s="255"/>
      <c r="D18" s="256" t="s">
        <v>11</v>
      </c>
      <c r="E18" s="277">
        <v>0</v>
      </c>
      <c r="F18" s="247"/>
      <c r="G18" s="247"/>
      <c r="H18" s="247"/>
      <c r="I18" s="247"/>
      <c r="J18" s="247"/>
      <c r="K18" s="247"/>
      <c r="L18" s="247"/>
      <c r="M18" s="247"/>
      <c r="N18" s="247"/>
      <c r="O18" s="247"/>
      <c r="P18" s="271"/>
      <c r="Q18" s="303"/>
      <c r="R18" s="303"/>
      <c r="S18" s="303"/>
      <c r="T18" s="303"/>
      <c r="U18" s="303"/>
      <c r="V18" s="303"/>
      <c r="W18" s="303"/>
      <c r="X18" s="303"/>
      <c r="Y18" s="303"/>
      <c r="Z18" s="303"/>
      <c r="AA18" s="303"/>
      <c r="AB18" s="271"/>
      <c r="AC18" s="303"/>
      <c r="AD18" s="303"/>
      <c r="AE18" s="303"/>
      <c r="AF18" s="303"/>
      <c r="AG18" s="303"/>
      <c r="AH18" s="303"/>
      <c r="AI18" s="303"/>
      <c r="AJ18" s="303"/>
      <c r="AK18" s="303"/>
      <c r="AL18" s="303"/>
      <c r="AM18" s="303"/>
      <c r="AN18" s="271"/>
    </row>
    <row r="19" spans="1:40" ht="18" customHeight="1" x14ac:dyDescent="0.5">
      <c r="A19" s="245">
        <v>16</v>
      </c>
      <c r="B19" s="255"/>
      <c r="C19" s="255"/>
      <c r="D19" s="256" t="s">
        <v>120</v>
      </c>
      <c r="E19" s="277">
        <v>0</v>
      </c>
      <c r="F19" s="247"/>
      <c r="G19" s="247"/>
      <c r="H19" s="247"/>
      <c r="I19" s="247"/>
      <c r="J19" s="247"/>
      <c r="K19" s="247"/>
      <c r="L19" s="247"/>
      <c r="M19" s="247"/>
      <c r="N19" s="247"/>
      <c r="O19" s="247"/>
      <c r="P19" s="271"/>
      <c r="Q19" s="303"/>
      <c r="R19" s="303"/>
      <c r="S19" s="303"/>
      <c r="T19" s="303"/>
      <c r="U19" s="303"/>
      <c r="V19" s="303"/>
      <c r="W19" s="303"/>
      <c r="X19" s="303"/>
      <c r="Y19" s="303"/>
      <c r="Z19" s="303"/>
      <c r="AA19" s="303"/>
      <c r="AB19" s="271"/>
      <c r="AC19" s="303"/>
      <c r="AD19" s="303"/>
      <c r="AE19" s="303"/>
      <c r="AF19" s="303"/>
      <c r="AG19" s="303"/>
      <c r="AH19" s="303"/>
      <c r="AI19" s="303"/>
      <c r="AJ19" s="303"/>
      <c r="AK19" s="303"/>
      <c r="AL19" s="303"/>
      <c r="AM19" s="303"/>
      <c r="AN19" s="271"/>
    </row>
    <row r="20" spans="1:40" ht="18" customHeight="1" x14ac:dyDescent="0.5">
      <c r="A20" s="245">
        <v>17</v>
      </c>
      <c r="B20" s="255"/>
      <c r="C20" s="255"/>
      <c r="D20" s="256" t="s">
        <v>324</v>
      </c>
      <c r="E20" s="277">
        <v>0</v>
      </c>
      <c r="F20" s="247"/>
      <c r="G20" s="247"/>
      <c r="H20" s="247"/>
      <c r="I20" s="247"/>
      <c r="J20" s="247"/>
      <c r="K20" s="247"/>
      <c r="L20" s="247"/>
      <c r="M20" s="247"/>
      <c r="N20" s="247"/>
      <c r="O20" s="247"/>
      <c r="P20" s="271"/>
      <c r="Q20" s="247"/>
      <c r="R20" s="303"/>
      <c r="S20" s="303"/>
      <c r="T20" s="303"/>
      <c r="U20" s="303"/>
      <c r="V20" s="303"/>
      <c r="W20" s="303"/>
      <c r="X20" s="303"/>
      <c r="Y20" s="303"/>
      <c r="Z20" s="303"/>
      <c r="AA20" s="303"/>
      <c r="AB20" s="271"/>
      <c r="AC20" s="303"/>
      <c r="AD20" s="303"/>
      <c r="AE20" s="303"/>
      <c r="AF20" s="303"/>
      <c r="AG20" s="303"/>
      <c r="AH20" s="303"/>
      <c r="AI20" s="303"/>
      <c r="AJ20" s="303"/>
      <c r="AK20" s="303"/>
      <c r="AL20" s="303"/>
      <c r="AM20" s="303"/>
      <c r="AN20" s="271"/>
    </row>
    <row r="21" spans="1:40" ht="18" customHeight="1" x14ac:dyDescent="0.5">
      <c r="A21" s="245">
        <v>18</v>
      </c>
      <c r="B21" s="255"/>
      <c r="C21" s="255"/>
      <c r="D21" s="256" t="s">
        <v>325</v>
      </c>
      <c r="E21" s="277">
        <v>0</v>
      </c>
      <c r="F21" s="247"/>
      <c r="G21" s="247"/>
      <c r="H21" s="247"/>
      <c r="I21" s="247"/>
      <c r="J21" s="247"/>
      <c r="K21" s="247"/>
      <c r="L21" s="247"/>
      <c r="M21" s="247"/>
      <c r="N21" s="247"/>
      <c r="O21" s="247"/>
      <c r="P21" s="271"/>
      <c r="Q21" s="247"/>
      <c r="R21" s="303"/>
      <c r="S21" s="303"/>
      <c r="T21" s="303"/>
      <c r="U21" s="303"/>
      <c r="V21" s="303"/>
      <c r="W21" s="303"/>
      <c r="X21" s="303"/>
      <c r="Y21" s="303"/>
      <c r="Z21" s="303"/>
      <c r="AA21" s="303"/>
      <c r="AB21" s="271"/>
      <c r="AC21" s="303"/>
      <c r="AD21" s="303"/>
      <c r="AE21" s="303"/>
      <c r="AF21" s="303"/>
      <c r="AG21" s="303"/>
      <c r="AH21" s="303"/>
      <c r="AI21" s="303"/>
      <c r="AJ21" s="303"/>
      <c r="AK21" s="303"/>
      <c r="AL21" s="303"/>
      <c r="AM21" s="303"/>
      <c r="AN21" s="271"/>
    </row>
    <row r="22" spans="1:40" ht="18" customHeight="1" x14ac:dyDescent="0.5">
      <c r="A22" s="245">
        <v>19</v>
      </c>
      <c r="B22" s="255"/>
      <c r="C22" s="255"/>
      <c r="D22" s="256" t="s">
        <v>297</v>
      </c>
      <c r="E22" s="277">
        <v>0</v>
      </c>
      <c r="F22" s="247"/>
      <c r="G22" s="247"/>
      <c r="H22" s="247"/>
      <c r="I22" s="247"/>
      <c r="J22" s="247"/>
      <c r="K22" s="247"/>
      <c r="L22" s="247"/>
      <c r="M22" s="247"/>
      <c r="N22" s="247"/>
      <c r="O22" s="247"/>
      <c r="P22" s="271"/>
      <c r="Q22" s="247"/>
      <c r="R22" s="247"/>
      <c r="S22" s="247"/>
      <c r="T22" s="247"/>
      <c r="U22" s="247"/>
      <c r="V22" s="247"/>
      <c r="W22" s="247"/>
      <c r="X22" s="247"/>
      <c r="Y22" s="247"/>
      <c r="Z22" s="247"/>
      <c r="AA22" s="247"/>
      <c r="AB22" s="271"/>
      <c r="AC22" s="247"/>
      <c r="AD22" s="247"/>
      <c r="AE22" s="247"/>
      <c r="AF22" s="247"/>
      <c r="AG22" s="247"/>
      <c r="AH22" s="247"/>
      <c r="AI22" s="247"/>
      <c r="AJ22" s="247"/>
      <c r="AK22" s="247"/>
      <c r="AL22" s="247"/>
      <c r="AM22" s="247"/>
      <c r="AN22" s="271"/>
    </row>
    <row r="23" spans="1:40" ht="18" customHeight="1" x14ac:dyDescent="0.5">
      <c r="A23" s="245">
        <v>20</v>
      </c>
      <c r="B23" s="255"/>
      <c r="C23" s="255"/>
      <c r="D23" s="256" t="s">
        <v>326</v>
      </c>
      <c r="E23" s="277">
        <v>0</v>
      </c>
      <c r="F23" s="247"/>
      <c r="G23" s="247"/>
      <c r="H23" s="247"/>
      <c r="I23" s="247"/>
      <c r="J23" s="247"/>
      <c r="K23" s="247"/>
      <c r="L23" s="247"/>
      <c r="M23" s="247"/>
      <c r="N23" s="247"/>
      <c r="O23" s="247"/>
      <c r="P23" s="271"/>
      <c r="Q23" s="303"/>
      <c r="R23" s="303"/>
      <c r="S23" s="303"/>
      <c r="T23" s="303"/>
      <c r="U23" s="303"/>
      <c r="V23" s="303"/>
      <c r="W23" s="303"/>
      <c r="X23" s="303"/>
      <c r="Y23" s="303"/>
      <c r="Z23" s="303"/>
      <c r="AA23" s="303"/>
      <c r="AB23" s="271"/>
      <c r="AC23" s="303"/>
      <c r="AD23" s="303"/>
      <c r="AE23" s="303"/>
      <c r="AF23" s="303"/>
      <c r="AG23" s="303"/>
      <c r="AH23" s="303"/>
      <c r="AI23" s="303"/>
      <c r="AJ23" s="303"/>
      <c r="AK23" s="303"/>
      <c r="AL23" s="303"/>
      <c r="AM23" s="303"/>
      <c r="AN23" s="271"/>
    </row>
    <row r="24" spans="1:40" ht="18" customHeight="1" x14ac:dyDescent="0.5">
      <c r="A24" s="245">
        <v>21</v>
      </c>
      <c r="B24" s="255"/>
      <c r="C24" s="255" t="s">
        <v>327</v>
      </c>
      <c r="D24" s="256"/>
      <c r="E24" s="277">
        <v>0</v>
      </c>
      <c r="F24" s="247"/>
      <c r="G24" s="247"/>
      <c r="H24" s="247"/>
      <c r="I24" s="247"/>
      <c r="J24" s="247"/>
      <c r="K24" s="247"/>
      <c r="L24" s="247"/>
      <c r="M24" s="247"/>
      <c r="N24" s="247"/>
      <c r="O24" s="247"/>
      <c r="P24" s="271"/>
      <c r="Q24" s="247"/>
      <c r="R24" s="303"/>
      <c r="S24" s="303"/>
      <c r="T24" s="303"/>
      <c r="U24" s="303"/>
      <c r="V24" s="303"/>
      <c r="W24" s="303"/>
      <c r="X24" s="303"/>
      <c r="Y24" s="303"/>
      <c r="Z24" s="303"/>
      <c r="AA24" s="303"/>
      <c r="AB24" s="271"/>
      <c r="AC24" s="303"/>
      <c r="AD24" s="303"/>
      <c r="AE24" s="303"/>
      <c r="AF24" s="303"/>
      <c r="AG24" s="303"/>
      <c r="AH24" s="303"/>
      <c r="AI24" s="303"/>
      <c r="AJ24" s="303"/>
      <c r="AK24" s="303"/>
      <c r="AL24" s="303"/>
      <c r="AM24" s="303"/>
      <c r="AN24" s="271"/>
    </row>
    <row r="25" spans="1:40" ht="18" customHeight="1" x14ac:dyDescent="0.5">
      <c r="A25" s="245">
        <v>22</v>
      </c>
      <c r="B25" s="255"/>
      <c r="C25" s="255"/>
      <c r="D25" s="256" t="s">
        <v>328</v>
      </c>
      <c r="E25" s="277"/>
      <c r="F25" s="247"/>
      <c r="G25" s="247"/>
      <c r="H25" s="247"/>
      <c r="I25" s="247"/>
      <c r="J25" s="247"/>
      <c r="K25" s="247"/>
      <c r="L25" s="247"/>
      <c r="M25" s="247"/>
      <c r="N25" s="247"/>
      <c r="O25" s="247"/>
      <c r="P25" s="271"/>
      <c r="Q25" s="303"/>
      <c r="R25" s="303"/>
      <c r="S25" s="303"/>
      <c r="T25" s="303"/>
      <c r="U25" s="303"/>
      <c r="V25" s="303"/>
      <c r="W25" s="303"/>
      <c r="X25" s="303"/>
      <c r="Y25" s="303"/>
      <c r="Z25" s="303"/>
      <c r="AA25" s="303"/>
      <c r="AB25" s="271"/>
      <c r="AC25" s="303"/>
      <c r="AD25" s="303"/>
      <c r="AE25" s="303"/>
      <c r="AF25" s="303"/>
      <c r="AG25" s="303"/>
      <c r="AH25" s="303"/>
      <c r="AI25" s="303"/>
      <c r="AJ25" s="303"/>
      <c r="AK25" s="303"/>
      <c r="AL25" s="303"/>
      <c r="AM25" s="303"/>
      <c r="AN25" s="271"/>
    </row>
    <row r="26" spans="1:40" ht="18" customHeight="1" x14ac:dyDescent="0.5">
      <c r="A26" s="245"/>
      <c r="B26" s="255"/>
      <c r="C26" s="255"/>
      <c r="D26" s="256" t="s">
        <v>354</v>
      </c>
      <c r="E26" s="277"/>
      <c r="F26" s="247"/>
      <c r="G26" s="247"/>
      <c r="H26" s="247"/>
      <c r="I26" s="247"/>
      <c r="J26" s="247"/>
      <c r="K26" s="247"/>
      <c r="L26" s="247"/>
      <c r="M26" s="247"/>
      <c r="N26" s="247"/>
      <c r="O26" s="247"/>
      <c r="P26" s="271"/>
      <c r="Q26" s="247"/>
      <c r="R26" s="247"/>
      <c r="S26" s="247"/>
      <c r="T26" s="247"/>
      <c r="U26" s="247"/>
      <c r="V26" s="247"/>
      <c r="W26" s="247"/>
      <c r="X26" s="247"/>
      <c r="Y26" s="247"/>
      <c r="Z26" s="247"/>
      <c r="AA26" s="247"/>
      <c r="AB26" s="271"/>
      <c r="AC26" s="247"/>
      <c r="AD26" s="247"/>
      <c r="AE26" s="247"/>
      <c r="AF26" s="247"/>
      <c r="AG26" s="247"/>
      <c r="AH26" s="247"/>
      <c r="AI26" s="247"/>
      <c r="AJ26" s="247"/>
      <c r="AK26" s="247"/>
      <c r="AL26" s="247"/>
      <c r="AM26" s="247"/>
      <c r="AN26" s="271"/>
    </row>
    <row r="27" spans="1:40" ht="18" customHeight="1" x14ac:dyDescent="0.5">
      <c r="A27" s="245">
        <v>23</v>
      </c>
      <c r="B27" s="255"/>
      <c r="C27" s="255"/>
      <c r="D27" s="256" t="s">
        <v>353</v>
      </c>
      <c r="E27" s="277"/>
      <c r="F27" s="247"/>
      <c r="G27" s="247"/>
      <c r="H27" s="247"/>
      <c r="I27" s="247"/>
      <c r="J27" s="247"/>
      <c r="K27" s="247"/>
      <c r="L27" s="303"/>
      <c r="M27" s="303"/>
      <c r="N27" s="303"/>
      <c r="O27" s="303"/>
      <c r="P27" s="271"/>
      <c r="Q27" s="303"/>
      <c r="R27" s="303"/>
      <c r="S27" s="303"/>
      <c r="T27" s="303"/>
      <c r="U27" s="303"/>
      <c r="V27" s="303"/>
      <c r="W27" s="303"/>
      <c r="X27" s="303"/>
      <c r="Y27" s="303"/>
      <c r="Z27" s="303"/>
      <c r="AA27" s="303"/>
      <c r="AB27" s="271"/>
      <c r="AC27" s="303"/>
      <c r="AD27" s="303"/>
      <c r="AE27" s="303"/>
      <c r="AF27" s="303"/>
      <c r="AG27" s="303"/>
      <c r="AH27" s="303"/>
      <c r="AI27" s="303"/>
      <c r="AJ27" s="303"/>
      <c r="AK27" s="303"/>
      <c r="AL27" s="303"/>
      <c r="AM27" s="303"/>
      <c r="AN27" s="271"/>
    </row>
    <row r="28" spans="1:40" ht="18" customHeight="1" x14ac:dyDescent="0.5">
      <c r="A28" s="245">
        <v>24</v>
      </c>
      <c r="B28" s="255"/>
      <c r="C28" s="255"/>
      <c r="D28" s="256" t="s">
        <v>329</v>
      </c>
      <c r="E28" s="277">
        <v>0</v>
      </c>
      <c r="F28" s="247"/>
      <c r="G28" s="247"/>
      <c r="H28" s="247"/>
      <c r="I28" s="247"/>
      <c r="J28" s="247"/>
      <c r="K28" s="247"/>
      <c r="L28" s="247"/>
      <c r="M28" s="247"/>
      <c r="N28" s="247"/>
      <c r="O28" s="247"/>
      <c r="P28" s="271"/>
      <c r="Q28" s="247"/>
      <c r="R28" s="247"/>
      <c r="S28" s="247"/>
      <c r="T28" s="247"/>
      <c r="U28" s="247"/>
      <c r="V28" s="247"/>
      <c r="W28" s="247"/>
      <c r="X28" s="247"/>
      <c r="Y28" s="247"/>
      <c r="Z28" s="247"/>
      <c r="AA28" s="247"/>
      <c r="AB28" s="271"/>
      <c r="AC28" s="247"/>
      <c r="AD28" s="247"/>
      <c r="AE28" s="247"/>
      <c r="AF28" s="247"/>
      <c r="AG28" s="247"/>
      <c r="AH28" s="247"/>
      <c r="AI28" s="247"/>
      <c r="AJ28" s="247"/>
      <c r="AK28" s="247"/>
      <c r="AL28" s="247"/>
      <c r="AM28" s="247"/>
      <c r="AN28" s="271"/>
    </row>
    <row r="29" spans="1:40" ht="18" customHeight="1" x14ac:dyDescent="0.5">
      <c r="A29" s="245">
        <v>25</v>
      </c>
      <c r="B29" s="255"/>
      <c r="C29" s="255" t="s">
        <v>344</v>
      </c>
      <c r="D29" s="256"/>
      <c r="E29" s="277">
        <v>0</v>
      </c>
      <c r="F29" s="247"/>
      <c r="G29" s="247"/>
      <c r="H29" s="247"/>
      <c r="I29" s="247"/>
      <c r="J29" s="247"/>
      <c r="K29" s="247"/>
      <c r="L29" s="247"/>
      <c r="M29" s="247"/>
      <c r="N29" s="247"/>
      <c r="O29" s="247"/>
      <c r="P29" s="271"/>
      <c r="Q29" s="247"/>
      <c r="R29" s="247"/>
      <c r="S29" s="247"/>
      <c r="T29" s="247"/>
      <c r="U29" s="247"/>
      <c r="V29" s="247"/>
      <c r="W29" s="247"/>
      <c r="X29" s="247"/>
      <c r="Y29" s="247"/>
      <c r="Z29" s="247"/>
      <c r="AA29" s="247"/>
      <c r="AB29" s="271"/>
      <c r="AC29" s="303"/>
      <c r="AD29" s="247"/>
      <c r="AE29" s="247"/>
      <c r="AF29" s="247"/>
      <c r="AG29" s="247"/>
      <c r="AH29" s="247"/>
      <c r="AI29" s="247"/>
      <c r="AJ29" s="247"/>
      <c r="AK29" s="247"/>
      <c r="AL29" s="247"/>
      <c r="AM29" s="247"/>
      <c r="AN29" s="271"/>
    </row>
    <row r="30" spans="1:40" ht="18" customHeight="1" x14ac:dyDescent="0.5">
      <c r="A30" s="245">
        <v>26</v>
      </c>
      <c r="B30" s="255"/>
      <c r="C30" s="255" t="s">
        <v>330</v>
      </c>
      <c r="D30" s="256"/>
      <c r="E30" s="277">
        <v>0</v>
      </c>
      <c r="F30" s="247"/>
      <c r="G30" s="247"/>
      <c r="H30" s="247"/>
      <c r="I30" s="247"/>
      <c r="J30" s="247"/>
      <c r="K30" s="247"/>
      <c r="L30" s="247"/>
      <c r="M30" s="247"/>
      <c r="N30" s="247"/>
      <c r="O30" s="247"/>
      <c r="P30" s="271"/>
      <c r="Q30" s="247"/>
      <c r="R30" s="247"/>
      <c r="S30" s="247"/>
      <c r="T30" s="247"/>
      <c r="U30" s="247"/>
      <c r="V30" s="247"/>
      <c r="W30" s="247"/>
      <c r="X30" s="247"/>
      <c r="Y30" s="247"/>
      <c r="Z30" s="247"/>
      <c r="AA30" s="247"/>
      <c r="AB30" s="271"/>
      <c r="AC30" s="303"/>
      <c r="AD30" s="247"/>
      <c r="AE30" s="247"/>
      <c r="AF30" s="247"/>
      <c r="AG30" s="247"/>
      <c r="AH30" s="247"/>
      <c r="AI30" s="247"/>
      <c r="AJ30" s="247"/>
      <c r="AK30" s="247"/>
      <c r="AL30" s="247"/>
      <c r="AM30" s="247"/>
      <c r="AN30" s="271"/>
    </row>
    <row r="31" spans="1:40" ht="18" customHeight="1" x14ac:dyDescent="0.5">
      <c r="A31" s="245">
        <v>27</v>
      </c>
      <c r="B31" s="255"/>
      <c r="C31" s="255" t="s">
        <v>331</v>
      </c>
      <c r="D31" s="256"/>
      <c r="E31" s="277">
        <v>0</v>
      </c>
      <c r="F31" s="247"/>
      <c r="G31" s="247"/>
      <c r="H31" s="247"/>
      <c r="I31" s="247"/>
      <c r="J31" s="247"/>
      <c r="K31" s="247"/>
      <c r="L31" s="247"/>
      <c r="M31" s="247"/>
      <c r="N31" s="247"/>
      <c r="O31" s="247"/>
      <c r="P31" s="271"/>
      <c r="Q31" s="247"/>
      <c r="R31" s="247"/>
      <c r="S31" s="247"/>
      <c r="T31" s="247"/>
      <c r="U31" s="247"/>
      <c r="V31" s="247"/>
      <c r="W31" s="247"/>
      <c r="X31" s="247"/>
      <c r="Y31" s="247"/>
      <c r="Z31" s="247"/>
      <c r="AA31" s="247"/>
      <c r="AB31" s="271"/>
      <c r="AC31" s="303"/>
      <c r="AD31" s="247"/>
      <c r="AE31" s="247"/>
      <c r="AF31" s="247"/>
      <c r="AG31" s="247"/>
      <c r="AH31" s="247"/>
      <c r="AI31" s="247"/>
      <c r="AJ31" s="247"/>
      <c r="AK31" s="247"/>
      <c r="AL31" s="247"/>
      <c r="AM31" s="247"/>
      <c r="AN31" s="271"/>
    </row>
    <row r="32" spans="1:40" ht="18" customHeight="1" x14ac:dyDescent="0.5">
      <c r="A32" s="245">
        <v>28</v>
      </c>
      <c r="B32" s="255"/>
      <c r="C32" s="255" t="s">
        <v>345</v>
      </c>
      <c r="D32" s="256"/>
      <c r="E32" s="277">
        <v>0</v>
      </c>
      <c r="F32" s="247"/>
      <c r="G32" s="247"/>
      <c r="H32" s="247"/>
      <c r="I32" s="247"/>
      <c r="J32" s="247"/>
      <c r="K32" s="247"/>
      <c r="L32" s="247"/>
      <c r="M32" s="247"/>
      <c r="N32" s="247"/>
      <c r="O32" s="247"/>
      <c r="P32" s="271"/>
      <c r="Q32" s="247"/>
      <c r="R32" s="247"/>
      <c r="S32" s="247"/>
      <c r="T32" s="247"/>
      <c r="U32" s="247"/>
      <c r="V32" s="247"/>
      <c r="W32" s="247"/>
      <c r="X32" s="247"/>
      <c r="Y32" s="247"/>
      <c r="Z32" s="247"/>
      <c r="AA32" s="247"/>
      <c r="AB32" s="271"/>
      <c r="AC32" s="303"/>
      <c r="AD32" s="247"/>
      <c r="AE32" s="247"/>
      <c r="AF32" s="247"/>
      <c r="AG32" s="247"/>
      <c r="AH32" s="247"/>
      <c r="AI32" s="247"/>
      <c r="AJ32" s="247"/>
      <c r="AK32" s="247"/>
      <c r="AL32" s="247"/>
      <c r="AM32" s="247"/>
      <c r="AN32" s="271"/>
    </row>
    <row r="33" spans="1:40" ht="18" customHeight="1" x14ac:dyDescent="0.5">
      <c r="A33" s="245">
        <v>29</v>
      </c>
      <c r="B33" s="255"/>
      <c r="C33" s="255" t="s">
        <v>355</v>
      </c>
      <c r="D33" s="256"/>
      <c r="E33" s="277">
        <v>0</v>
      </c>
      <c r="F33" s="247"/>
      <c r="G33" s="247"/>
      <c r="H33" s="247"/>
      <c r="I33" s="247"/>
      <c r="J33" s="247"/>
      <c r="K33" s="247"/>
      <c r="L33" s="247"/>
      <c r="M33" s="247"/>
      <c r="N33" s="247"/>
      <c r="O33" s="247"/>
      <c r="P33" s="271"/>
      <c r="Q33" s="247"/>
      <c r="R33" s="247"/>
      <c r="S33" s="247"/>
      <c r="T33" s="247"/>
      <c r="U33" s="247"/>
      <c r="V33" s="247"/>
      <c r="W33" s="247"/>
      <c r="X33" s="247"/>
      <c r="Y33" s="247"/>
      <c r="Z33" s="247"/>
      <c r="AA33" s="247"/>
      <c r="AB33" s="271"/>
      <c r="AC33" s="303"/>
      <c r="AD33" s="247"/>
      <c r="AE33" s="247"/>
      <c r="AF33" s="247"/>
      <c r="AG33" s="247"/>
      <c r="AH33" s="247"/>
      <c r="AI33" s="247"/>
      <c r="AJ33" s="247"/>
      <c r="AK33" s="247"/>
      <c r="AL33" s="247"/>
      <c r="AM33" s="247"/>
      <c r="AN33" s="271"/>
    </row>
    <row r="34" spans="1:40" ht="18" customHeight="1" x14ac:dyDescent="0.5">
      <c r="A34" s="245">
        <v>30</v>
      </c>
      <c r="B34" s="255"/>
      <c r="C34" s="255" t="s">
        <v>296</v>
      </c>
      <c r="D34" s="256"/>
      <c r="E34" s="277">
        <v>0</v>
      </c>
      <c r="F34" s="247"/>
      <c r="G34" s="247"/>
      <c r="H34" s="247"/>
      <c r="I34" s="247"/>
      <c r="J34" s="247"/>
      <c r="K34" s="247"/>
      <c r="L34" s="247"/>
      <c r="M34" s="247"/>
      <c r="N34" s="247"/>
      <c r="O34" s="247"/>
      <c r="P34" s="271"/>
      <c r="Q34" s="247"/>
      <c r="R34" s="247"/>
      <c r="S34" s="247"/>
      <c r="T34" s="247"/>
      <c r="U34" s="247"/>
      <c r="V34" s="247"/>
      <c r="W34" s="247"/>
      <c r="X34" s="247"/>
      <c r="Y34" s="247"/>
      <c r="Z34" s="247"/>
      <c r="AA34" s="247"/>
      <c r="AB34" s="271"/>
      <c r="AC34" s="247"/>
      <c r="AD34" s="247"/>
      <c r="AE34" s="247"/>
      <c r="AF34" s="247"/>
      <c r="AG34" s="247"/>
      <c r="AH34" s="247"/>
      <c r="AI34" s="247"/>
      <c r="AJ34" s="247"/>
      <c r="AK34" s="247"/>
      <c r="AL34" s="247"/>
      <c r="AM34" s="247"/>
      <c r="AN34" s="271"/>
    </row>
    <row r="35" spans="1:40" ht="18" customHeight="1" x14ac:dyDescent="0.5">
      <c r="A35" s="245">
        <v>31</v>
      </c>
      <c r="B35" s="255"/>
      <c r="C35" s="255" t="s">
        <v>348</v>
      </c>
      <c r="D35" s="256"/>
      <c r="E35" s="277">
        <v>0</v>
      </c>
      <c r="F35" s="247"/>
      <c r="G35" s="247"/>
      <c r="H35" s="247"/>
      <c r="I35" s="247"/>
      <c r="J35" s="247"/>
      <c r="K35" s="247"/>
      <c r="L35" s="247"/>
      <c r="M35" s="247"/>
      <c r="N35" s="247"/>
      <c r="O35" s="247"/>
      <c r="P35" s="271"/>
      <c r="Q35" s="247"/>
      <c r="R35" s="247"/>
      <c r="S35" s="247"/>
      <c r="T35" s="247"/>
      <c r="U35" s="247"/>
      <c r="V35" s="247"/>
      <c r="W35" s="247"/>
      <c r="X35" s="247"/>
      <c r="Y35" s="247"/>
      <c r="Z35" s="247"/>
      <c r="AA35" s="247"/>
      <c r="AB35" s="271"/>
      <c r="AC35" s="303"/>
      <c r="AD35" s="247"/>
      <c r="AE35" s="247"/>
      <c r="AF35" s="247"/>
      <c r="AG35" s="247"/>
      <c r="AH35" s="247"/>
      <c r="AI35" s="247"/>
      <c r="AJ35" s="247"/>
      <c r="AK35" s="247"/>
      <c r="AL35" s="247"/>
      <c r="AM35" s="247"/>
      <c r="AN35" s="271"/>
    </row>
    <row r="36" spans="1:40" ht="18" customHeight="1" x14ac:dyDescent="0.5">
      <c r="A36" s="245">
        <v>32</v>
      </c>
      <c r="B36" s="255"/>
      <c r="C36" s="255" t="s">
        <v>349</v>
      </c>
      <c r="D36" s="256"/>
      <c r="E36" s="277">
        <v>0</v>
      </c>
      <c r="F36" s="247"/>
      <c r="G36" s="247"/>
      <c r="H36" s="247"/>
      <c r="I36" s="247"/>
      <c r="J36" s="247"/>
      <c r="K36" s="247"/>
      <c r="L36" s="247"/>
      <c r="M36" s="247"/>
      <c r="N36" s="247"/>
      <c r="O36" s="247"/>
      <c r="P36" s="271"/>
      <c r="Q36" s="247"/>
      <c r="R36" s="247"/>
      <c r="S36" s="247"/>
      <c r="T36" s="247"/>
      <c r="U36" s="247"/>
      <c r="V36" s="247"/>
      <c r="W36" s="247"/>
      <c r="X36" s="247"/>
      <c r="Y36" s="247"/>
      <c r="Z36" s="247"/>
      <c r="AA36" s="247"/>
      <c r="AB36" s="271"/>
      <c r="AC36" s="303"/>
      <c r="AD36" s="247"/>
      <c r="AE36" s="247"/>
      <c r="AF36" s="247"/>
      <c r="AG36" s="247"/>
      <c r="AH36" s="247"/>
      <c r="AI36" s="247"/>
      <c r="AJ36" s="247"/>
      <c r="AK36" s="247"/>
      <c r="AL36" s="247"/>
      <c r="AM36" s="247"/>
      <c r="AN36" s="271"/>
    </row>
    <row r="37" spans="1:40" ht="18" customHeight="1" x14ac:dyDescent="0.5">
      <c r="A37" s="245">
        <v>33</v>
      </c>
      <c r="B37" s="255"/>
      <c r="C37" s="255" t="s">
        <v>332</v>
      </c>
      <c r="D37" s="256"/>
      <c r="E37" s="277">
        <v>0</v>
      </c>
      <c r="F37" s="247"/>
      <c r="G37" s="247"/>
      <c r="H37" s="247"/>
      <c r="I37" s="247"/>
      <c r="J37" s="247"/>
      <c r="K37" s="247"/>
      <c r="L37" s="247"/>
      <c r="M37" s="247"/>
      <c r="N37" s="247"/>
      <c r="O37" s="247"/>
      <c r="P37" s="271"/>
      <c r="Q37" s="247"/>
      <c r="R37" s="247"/>
      <c r="S37" s="247"/>
      <c r="T37" s="247"/>
      <c r="U37" s="247"/>
      <c r="V37" s="247"/>
      <c r="W37" s="247"/>
      <c r="X37" s="247"/>
      <c r="Y37" s="247"/>
      <c r="Z37" s="247"/>
      <c r="AA37" s="247"/>
      <c r="AB37" s="271"/>
      <c r="AC37" s="303"/>
      <c r="AD37" s="247"/>
      <c r="AE37" s="247"/>
      <c r="AF37" s="247"/>
      <c r="AG37" s="247"/>
      <c r="AH37" s="247"/>
      <c r="AI37" s="247"/>
      <c r="AJ37" s="247"/>
      <c r="AK37" s="247"/>
      <c r="AL37" s="247"/>
      <c r="AM37" s="247"/>
      <c r="AN37" s="271"/>
    </row>
    <row r="38" spans="1:40" ht="18" customHeight="1" x14ac:dyDescent="0.5">
      <c r="A38" s="245">
        <v>34</v>
      </c>
      <c r="B38" s="255"/>
      <c r="C38" s="255" t="s">
        <v>333</v>
      </c>
      <c r="D38" s="256"/>
      <c r="E38" s="277">
        <v>0</v>
      </c>
      <c r="F38" s="247"/>
      <c r="G38" s="247"/>
      <c r="H38" s="247"/>
      <c r="I38" s="247"/>
      <c r="J38" s="247"/>
      <c r="K38" s="247"/>
      <c r="L38" s="247"/>
      <c r="M38" s="247"/>
      <c r="N38" s="247"/>
      <c r="O38" s="247"/>
      <c r="P38" s="271"/>
      <c r="Q38" s="247"/>
      <c r="R38" s="247"/>
      <c r="S38" s="247"/>
      <c r="T38" s="247"/>
      <c r="U38" s="247"/>
      <c r="V38" s="247"/>
      <c r="W38" s="247"/>
      <c r="X38" s="247"/>
      <c r="Y38" s="247"/>
      <c r="Z38" s="247"/>
      <c r="AA38" s="247"/>
      <c r="AB38" s="271"/>
      <c r="AC38" s="303"/>
      <c r="AD38" s="247"/>
      <c r="AE38" s="247"/>
      <c r="AF38" s="247"/>
      <c r="AG38" s="247"/>
      <c r="AH38" s="247"/>
      <c r="AI38" s="247"/>
      <c r="AJ38" s="247"/>
      <c r="AK38" s="247"/>
      <c r="AL38" s="247"/>
      <c r="AM38" s="247"/>
      <c r="AN38" s="271"/>
    </row>
    <row r="39" spans="1:40" ht="18" customHeight="1" x14ac:dyDescent="0.5">
      <c r="A39" s="245">
        <v>35</v>
      </c>
      <c r="B39" s="255"/>
      <c r="C39" s="255" t="s">
        <v>334</v>
      </c>
      <c r="D39" s="256"/>
      <c r="E39" s="277"/>
      <c r="F39" s="247"/>
      <c r="G39" s="247"/>
      <c r="H39" s="247"/>
      <c r="I39" s="247"/>
      <c r="J39" s="247"/>
      <c r="K39" s="247"/>
      <c r="L39" s="247"/>
      <c r="M39" s="247"/>
      <c r="N39" s="247"/>
      <c r="O39" s="247"/>
      <c r="P39" s="271"/>
      <c r="Q39" s="247"/>
      <c r="R39" s="247"/>
      <c r="S39" s="247"/>
      <c r="T39" s="247"/>
      <c r="U39" s="247"/>
      <c r="V39" s="247"/>
      <c r="W39" s="247"/>
      <c r="X39" s="247"/>
      <c r="Y39" s="247"/>
      <c r="Z39" s="247"/>
      <c r="AA39" s="247"/>
      <c r="AB39" s="271"/>
      <c r="AC39" s="303"/>
      <c r="AD39" s="247"/>
      <c r="AE39" s="247"/>
      <c r="AF39" s="247"/>
      <c r="AG39" s="247"/>
      <c r="AH39" s="247"/>
      <c r="AI39" s="247"/>
      <c r="AJ39" s="247"/>
      <c r="AK39" s="247"/>
      <c r="AL39" s="247"/>
      <c r="AM39" s="247"/>
      <c r="AN39" s="271"/>
    </row>
    <row r="40" spans="1:40" ht="18" customHeight="1" x14ac:dyDescent="0.5">
      <c r="A40" s="245">
        <v>36</v>
      </c>
      <c r="B40" s="255"/>
      <c r="C40" s="255" t="s">
        <v>335</v>
      </c>
      <c r="D40" s="256"/>
      <c r="E40" s="277"/>
      <c r="F40" s="247"/>
      <c r="G40" s="247"/>
      <c r="H40" s="247"/>
      <c r="I40" s="247"/>
      <c r="J40" s="247"/>
      <c r="K40" s="247"/>
      <c r="L40" s="247"/>
      <c r="M40" s="247"/>
      <c r="N40" s="247"/>
      <c r="O40" s="247"/>
      <c r="P40" s="271"/>
      <c r="Q40" s="247"/>
      <c r="R40" s="247"/>
      <c r="S40" s="247"/>
      <c r="T40" s="247"/>
      <c r="U40" s="247"/>
      <c r="V40" s="247"/>
      <c r="W40" s="247"/>
      <c r="X40" s="247"/>
      <c r="Y40" s="247"/>
      <c r="Z40" s="247"/>
      <c r="AA40" s="247"/>
      <c r="AB40" s="271"/>
      <c r="AC40" s="303"/>
      <c r="AD40" s="247"/>
      <c r="AE40" s="247"/>
      <c r="AF40" s="247"/>
      <c r="AG40" s="247"/>
      <c r="AH40" s="247"/>
      <c r="AI40" s="247"/>
      <c r="AJ40" s="247"/>
      <c r="AK40" s="247"/>
      <c r="AL40" s="247"/>
      <c r="AM40" s="247"/>
      <c r="AN40" s="271"/>
    </row>
    <row r="41" spans="1:40" ht="18" hidden="1" customHeight="1" x14ac:dyDescent="0.5">
      <c r="A41" s="245">
        <v>37</v>
      </c>
      <c r="B41" s="255"/>
      <c r="C41" s="255" t="s">
        <v>336</v>
      </c>
      <c r="D41" s="256"/>
      <c r="E41" s="277">
        <v>0</v>
      </c>
      <c r="F41" s="247"/>
      <c r="G41" s="247"/>
      <c r="H41" s="247"/>
      <c r="I41" s="247"/>
      <c r="J41" s="247"/>
      <c r="K41" s="247"/>
      <c r="L41" s="247"/>
      <c r="M41" s="247"/>
      <c r="N41" s="247"/>
      <c r="O41" s="247"/>
      <c r="P41" s="271"/>
      <c r="Q41" s="247"/>
      <c r="R41" s="247"/>
      <c r="S41" s="247"/>
      <c r="T41" s="247"/>
      <c r="U41" s="247"/>
      <c r="V41" s="247"/>
      <c r="W41" s="247"/>
      <c r="X41" s="247"/>
      <c r="Y41" s="247"/>
      <c r="Z41" s="247"/>
      <c r="AA41" s="247"/>
      <c r="AB41" s="271"/>
      <c r="AC41" s="303"/>
      <c r="AD41" s="247"/>
      <c r="AE41" s="247"/>
      <c r="AF41" s="247"/>
      <c r="AG41" s="247"/>
      <c r="AH41" s="247"/>
      <c r="AI41" s="247"/>
      <c r="AJ41" s="247"/>
      <c r="AK41" s="247"/>
      <c r="AL41" s="247"/>
      <c r="AM41" s="247"/>
      <c r="AN41" s="271"/>
    </row>
    <row r="42" spans="1:40" ht="18" hidden="1" customHeight="1" x14ac:dyDescent="0.5">
      <c r="A42" s="245">
        <v>38</v>
      </c>
      <c r="B42" s="255"/>
      <c r="C42" s="255" t="s">
        <v>319</v>
      </c>
      <c r="D42" s="256"/>
      <c r="E42" s="277">
        <v>0</v>
      </c>
      <c r="F42" s="247"/>
      <c r="G42" s="247"/>
      <c r="H42" s="247"/>
      <c r="I42" s="247"/>
      <c r="J42" s="247"/>
      <c r="K42" s="247"/>
      <c r="L42" s="247"/>
      <c r="M42" s="247"/>
      <c r="N42" s="247"/>
      <c r="O42" s="247"/>
      <c r="P42" s="271"/>
      <c r="Q42" s="247"/>
      <c r="R42" s="247"/>
      <c r="S42" s="247"/>
      <c r="T42" s="247"/>
      <c r="U42" s="247"/>
      <c r="V42" s="247"/>
      <c r="W42" s="247"/>
      <c r="X42" s="247"/>
      <c r="Y42" s="247"/>
      <c r="Z42" s="247"/>
      <c r="AA42" s="247"/>
      <c r="AB42" s="271"/>
      <c r="AC42" s="303"/>
      <c r="AD42" s="247"/>
      <c r="AE42" s="247"/>
      <c r="AF42" s="247"/>
      <c r="AG42" s="247"/>
      <c r="AH42" s="247"/>
      <c r="AI42" s="247"/>
      <c r="AJ42" s="247"/>
      <c r="AK42" s="247"/>
      <c r="AL42" s="247"/>
      <c r="AM42" s="247"/>
      <c r="AN42" s="271"/>
    </row>
    <row r="43" spans="1:40" ht="18" customHeight="1" thickBot="1" x14ac:dyDescent="0.55000000000000004">
      <c r="A43" s="261">
        <v>39</v>
      </c>
      <c r="B43" s="262" t="s">
        <v>337</v>
      </c>
      <c r="C43" s="263"/>
      <c r="D43" s="264"/>
      <c r="E43" s="278">
        <f>SUM(E13:E42)</f>
        <v>0</v>
      </c>
      <c r="F43" s="265"/>
      <c r="G43" s="265"/>
      <c r="H43" s="265"/>
      <c r="I43" s="265"/>
      <c r="J43" s="265"/>
      <c r="K43" s="265"/>
      <c r="L43" s="265"/>
      <c r="M43" s="265"/>
      <c r="N43" s="265"/>
      <c r="O43" s="265"/>
      <c r="P43" s="272"/>
      <c r="Q43" s="265"/>
      <c r="R43" s="265"/>
      <c r="S43" s="265"/>
      <c r="T43" s="265"/>
      <c r="U43" s="265"/>
      <c r="V43" s="265"/>
      <c r="W43" s="265"/>
      <c r="X43" s="265"/>
      <c r="Y43" s="265"/>
      <c r="Z43" s="265"/>
      <c r="AA43" s="265"/>
      <c r="AB43" s="272"/>
      <c r="AC43" s="265"/>
      <c r="AD43" s="265"/>
      <c r="AE43" s="265"/>
      <c r="AF43" s="265"/>
      <c r="AG43" s="265"/>
      <c r="AH43" s="265"/>
      <c r="AI43" s="265"/>
      <c r="AJ43" s="265"/>
      <c r="AK43" s="265"/>
      <c r="AL43" s="265"/>
      <c r="AM43" s="265"/>
      <c r="AN43" s="272"/>
    </row>
    <row r="44" spans="1:40" ht="18" customHeight="1" thickBot="1" x14ac:dyDescent="0.55000000000000004">
      <c r="A44" s="245">
        <v>40</v>
      </c>
      <c r="B44" s="257" t="s">
        <v>338</v>
      </c>
      <c r="C44" s="255"/>
      <c r="D44" s="256"/>
      <c r="E44" s="277">
        <f>E11-E43</f>
        <v>0</v>
      </c>
      <c r="F44" s="247"/>
      <c r="G44" s="247"/>
      <c r="H44" s="247"/>
      <c r="I44" s="247"/>
      <c r="J44" s="247"/>
      <c r="K44" s="247"/>
      <c r="L44" s="247"/>
      <c r="M44" s="247"/>
      <c r="N44" s="247"/>
      <c r="O44" s="247"/>
      <c r="P44" s="271"/>
      <c r="Q44" s="247"/>
      <c r="R44" s="247"/>
      <c r="S44" s="247"/>
      <c r="T44" s="247"/>
      <c r="U44" s="247"/>
      <c r="V44" s="247"/>
      <c r="W44" s="247"/>
      <c r="X44" s="247"/>
      <c r="Y44" s="247"/>
      <c r="Z44" s="247"/>
      <c r="AA44" s="247"/>
      <c r="AB44" s="271"/>
      <c r="AC44" s="303"/>
      <c r="AD44" s="247"/>
      <c r="AE44" s="247"/>
      <c r="AF44" s="247"/>
      <c r="AG44" s="247"/>
      <c r="AH44" s="247"/>
      <c r="AI44" s="247"/>
      <c r="AJ44" s="247"/>
      <c r="AK44" s="247"/>
      <c r="AL44" s="247"/>
      <c r="AM44" s="247"/>
      <c r="AN44" s="271"/>
    </row>
    <row r="45" spans="1:40" ht="18" customHeight="1" thickTop="1" thickBot="1" x14ac:dyDescent="0.55000000000000004">
      <c r="A45" s="250">
        <v>41</v>
      </c>
      <c r="B45" s="266" t="s">
        <v>339</v>
      </c>
      <c r="C45" s="267"/>
      <c r="D45" s="268"/>
      <c r="E45" s="279"/>
      <c r="F45" s="269"/>
      <c r="G45" s="269"/>
      <c r="H45" s="269"/>
      <c r="I45" s="269"/>
      <c r="J45" s="269"/>
      <c r="K45" s="269"/>
      <c r="L45" s="269"/>
      <c r="M45" s="269"/>
      <c r="N45" s="269"/>
      <c r="O45" s="269"/>
      <c r="P45" s="273"/>
      <c r="Q45" s="269"/>
      <c r="R45" s="269"/>
      <c r="S45" s="269"/>
      <c r="T45" s="269"/>
      <c r="U45" s="269"/>
      <c r="V45" s="269"/>
      <c r="W45" s="269"/>
      <c r="X45" s="269"/>
      <c r="Y45" s="269"/>
      <c r="Z45" s="269"/>
      <c r="AA45" s="269"/>
      <c r="AB45" s="273"/>
      <c r="AC45" s="269"/>
      <c r="AD45" s="269"/>
      <c r="AE45" s="269"/>
      <c r="AF45" s="269"/>
      <c r="AG45" s="269"/>
      <c r="AH45" s="269"/>
      <c r="AI45" s="269"/>
      <c r="AJ45" s="269"/>
      <c r="AK45" s="269"/>
      <c r="AL45" s="269"/>
      <c r="AM45" s="269"/>
      <c r="AN45" s="273"/>
    </row>
    <row r="46" spans="1:40" ht="18" customHeight="1" thickTop="1" thickBot="1" x14ac:dyDescent="0.55000000000000004">
      <c r="A46" s="261">
        <v>42</v>
      </c>
      <c r="B46" s="262" t="s">
        <v>340</v>
      </c>
      <c r="C46" s="263"/>
      <c r="D46" s="264"/>
      <c r="E46" s="278"/>
      <c r="F46" s="265"/>
      <c r="G46" s="265"/>
      <c r="H46" s="265"/>
      <c r="I46" s="265"/>
      <c r="J46" s="265"/>
      <c r="K46" s="265"/>
      <c r="L46" s="265"/>
      <c r="M46" s="265"/>
      <c r="N46" s="265"/>
      <c r="O46" s="265"/>
      <c r="P46" s="272"/>
      <c r="Q46" s="265"/>
      <c r="R46" s="265"/>
      <c r="S46" s="265"/>
      <c r="T46" s="265"/>
      <c r="U46" s="265"/>
      <c r="V46" s="265"/>
      <c r="W46" s="265"/>
      <c r="X46" s="265"/>
      <c r="Y46" s="265"/>
      <c r="Z46" s="265"/>
      <c r="AA46" s="265"/>
      <c r="AB46" s="272"/>
      <c r="AC46" s="265"/>
      <c r="AD46" s="265"/>
      <c r="AE46" s="265"/>
      <c r="AF46" s="265"/>
      <c r="AG46" s="265"/>
      <c r="AH46" s="265"/>
      <c r="AI46" s="265"/>
      <c r="AJ46" s="265"/>
      <c r="AK46" s="265"/>
      <c r="AL46" s="265"/>
      <c r="AM46" s="265"/>
      <c r="AN46" s="272"/>
    </row>
    <row r="47" spans="1:40" ht="18" customHeight="1" x14ac:dyDescent="0.4">
      <c r="A47" s="245">
        <v>43</v>
      </c>
      <c r="B47" s="245"/>
      <c r="C47" s="245"/>
      <c r="D47" s="246"/>
      <c r="E47" s="247"/>
      <c r="F47" s="247"/>
      <c r="G47" s="247"/>
      <c r="H47" s="247"/>
      <c r="I47" s="248"/>
      <c r="J47" s="248"/>
      <c r="K47" s="248"/>
      <c r="L47" s="245"/>
      <c r="M47" s="304"/>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row>
    <row r="48" spans="1:40" ht="18" customHeight="1" x14ac:dyDescent="0.4">
      <c r="A48" s="245">
        <v>44</v>
      </c>
      <c r="B48" s="245"/>
      <c r="C48" s="245"/>
      <c r="D48" s="246"/>
      <c r="E48" s="247"/>
      <c r="F48" s="247"/>
      <c r="G48" s="247"/>
      <c r="H48" s="247"/>
      <c r="I48" s="248"/>
      <c r="J48" s="248"/>
      <c r="K48" s="248"/>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row>
    <row r="49" spans="1:40" ht="18" customHeight="1" x14ac:dyDescent="0.4">
      <c r="A49" s="245">
        <v>45</v>
      </c>
      <c r="B49" s="245"/>
      <c r="C49" s="245"/>
      <c r="D49" s="246" t="s">
        <v>341</v>
      </c>
      <c r="E49" s="247"/>
      <c r="F49" s="247"/>
      <c r="G49" s="247"/>
      <c r="H49" s="247"/>
      <c r="I49" s="248"/>
      <c r="J49" s="248"/>
      <c r="K49" s="248"/>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row>
    <row r="50" spans="1:40" ht="18" customHeight="1" x14ac:dyDescent="0.4">
      <c r="A50" s="245">
        <v>46</v>
      </c>
      <c r="B50" s="245"/>
      <c r="C50" s="245"/>
      <c r="D50" s="249" t="s">
        <v>342</v>
      </c>
      <c r="E50" s="247"/>
      <c r="F50" s="247"/>
      <c r="G50" s="247"/>
      <c r="H50" s="247"/>
      <c r="I50" s="248"/>
      <c r="J50" s="248"/>
      <c r="K50" s="248"/>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row>
    <row r="51" spans="1:40" ht="18" customHeight="1" x14ac:dyDescent="0.4"/>
    <row r="52" spans="1:40" ht="18" customHeight="1" x14ac:dyDescent="0.4"/>
    <row r="53" spans="1:40" ht="18" hidden="1" customHeight="1" thickBot="1" x14ac:dyDescent="0.45"/>
    <row r="54" spans="1:40" ht="18" hidden="1" customHeight="1" x14ac:dyDescent="0.4"/>
    <row r="55" spans="1:40" ht="18" hidden="1" customHeight="1" x14ac:dyDescent="0.4"/>
    <row r="56" spans="1:40" ht="18" hidden="1" customHeight="1" x14ac:dyDescent="0.4"/>
    <row r="57" spans="1:40" ht="18" hidden="1" customHeight="1" x14ac:dyDescent="0.4"/>
    <row r="58" spans="1:40" ht="18" hidden="1" customHeight="1" x14ac:dyDescent="0.4"/>
    <row r="59" spans="1:40" ht="18" hidden="1" customHeight="1" x14ac:dyDescent="0.4"/>
    <row r="60" spans="1:40" ht="18" hidden="1" customHeight="1" x14ac:dyDescent="0.4"/>
    <row r="61" spans="1:40" hidden="1" x14ac:dyDescent="0.4"/>
    <row r="62" spans="1:40" hidden="1" x14ac:dyDescent="0.4"/>
    <row r="63" spans="1:40" ht="18" hidden="1" customHeight="1" x14ac:dyDescent="0.4"/>
    <row r="64" spans="1:40" ht="18" hidden="1" customHeight="1" x14ac:dyDescent="0.4"/>
    <row r="65" ht="18" hidden="1" customHeight="1" x14ac:dyDescent="0.4"/>
    <row r="66" ht="18" hidden="1" customHeight="1" x14ac:dyDescent="0.4"/>
    <row r="67" ht="18" hidden="1" customHeight="1" x14ac:dyDescent="0.4"/>
  </sheetData>
  <mergeCells count="1">
    <mergeCell ref="A1:D1"/>
  </mergeCells>
  <phoneticPr fontId="65" type="noConversion"/>
  <hyperlinks>
    <hyperlink ref="D50" r:id="rId1" xr:uid="{00000000-0004-0000-0200-000000000000}"/>
  </hyperlinks>
  <pageMargins left="0.25" right="0.25" top="0.75" bottom="0.75" header="0.3" footer="0.3"/>
  <pageSetup paperSize="3" scale="56"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4A87"/>
    <pageSetUpPr fitToPage="1"/>
  </sheetPr>
  <dimension ref="A1:F67"/>
  <sheetViews>
    <sheetView workbookViewId="0">
      <selection activeCell="B8" sqref="B8:B22"/>
    </sheetView>
  </sheetViews>
  <sheetFormatPr defaultColWidth="8.5703125" defaultRowHeight="11.65" x14ac:dyDescent="0.4"/>
  <cols>
    <col min="1" max="1" width="2.78515625" style="20" customWidth="1"/>
    <col min="2" max="2" width="36.78515625" style="19" customWidth="1"/>
    <col min="3" max="3" width="12.78515625" style="19" hidden="1" customWidth="1"/>
    <col min="4" max="5" width="12.78515625" style="19" customWidth="1"/>
    <col min="6" max="6" width="13.78515625" style="74" hidden="1" customWidth="1"/>
    <col min="7" max="16384" width="8.5703125" style="19"/>
  </cols>
  <sheetData>
    <row r="1" spans="1:6" s="15" customFormat="1" ht="12" customHeight="1" x14ac:dyDescent="0.4">
      <c r="A1" s="14"/>
      <c r="B1" s="14"/>
      <c r="C1" s="14"/>
      <c r="D1" s="14"/>
      <c r="F1" s="170"/>
    </row>
    <row r="2" spans="1:6" s="15" customFormat="1" ht="30" customHeight="1" thickBot="1" x14ac:dyDescent="0.45">
      <c r="A2" s="16"/>
      <c r="B2" s="452" t="s">
        <v>243</v>
      </c>
      <c r="C2" s="452"/>
      <c r="D2" s="452"/>
      <c r="E2" s="452"/>
      <c r="F2" s="452"/>
    </row>
    <row r="3" spans="1:6" ht="18" customHeight="1" thickTop="1" x14ac:dyDescent="0.4">
      <c r="A3" s="17"/>
      <c r="B3" s="146" t="str">
        <f>'Project Costs'!D1</f>
        <v>Business Name</v>
      </c>
    </row>
    <row r="4" spans="1:6" ht="18" customHeight="1" x14ac:dyDescent="0.4">
      <c r="B4" s="21">
        <f>'Personal Financial Statement'!C5</f>
        <v>0</v>
      </c>
    </row>
    <row r="5" spans="1:6" s="25" customFormat="1" ht="27" customHeight="1" thickBot="1" x14ac:dyDescent="0.45">
      <c r="A5" s="20"/>
      <c r="B5" s="22"/>
      <c r="C5" s="78" t="s">
        <v>105</v>
      </c>
      <c r="D5" s="23">
        <v>2016</v>
      </c>
      <c r="E5" s="23">
        <v>2017</v>
      </c>
      <c r="F5" s="24" t="s">
        <v>53</v>
      </c>
    </row>
    <row r="6" spans="1:6" ht="18" customHeight="1" x14ac:dyDescent="0.4">
      <c r="B6" s="26" t="s">
        <v>256</v>
      </c>
      <c r="C6" s="27"/>
      <c r="D6" s="28"/>
      <c r="E6" s="28"/>
      <c r="F6" s="29"/>
    </row>
    <row r="7" spans="1:6" ht="18" customHeight="1" x14ac:dyDescent="0.4">
      <c r="B7" s="26"/>
      <c r="C7" s="39">
        <f>'Existing Businesses Financials'!P1</f>
        <v>0</v>
      </c>
      <c r="D7" s="40"/>
      <c r="E7" s="40"/>
      <c r="F7" s="43">
        <f t="shared" ref="F7:F12" si="0">SUM(D7:E7)</f>
        <v>0</v>
      </c>
    </row>
    <row r="8" spans="1:6" ht="18" customHeight="1" x14ac:dyDescent="0.4">
      <c r="B8" s="77" t="s">
        <v>255</v>
      </c>
      <c r="C8" s="39">
        <f>'Existing Businesses Financials'!P2</f>
        <v>0</v>
      </c>
      <c r="D8" s="42">
        <v>52969.57</v>
      </c>
      <c r="E8" s="42">
        <v>34878.800000000003</v>
      </c>
      <c r="F8" s="158">
        <f t="shared" si="0"/>
        <v>87848.37</v>
      </c>
    </row>
    <row r="9" spans="1:6" ht="18" customHeight="1" x14ac:dyDescent="0.4">
      <c r="B9" s="38" t="s">
        <v>251</v>
      </c>
      <c r="C9" s="39">
        <f>'Existing Businesses Financials'!P3</f>
        <v>0</v>
      </c>
      <c r="D9" s="40"/>
      <c r="E9" s="40"/>
      <c r="F9" s="43">
        <f t="shared" si="0"/>
        <v>0</v>
      </c>
    </row>
    <row r="10" spans="1:6" ht="18" customHeight="1" x14ac:dyDescent="0.4">
      <c r="B10" s="77" t="s">
        <v>252</v>
      </c>
      <c r="C10" s="39">
        <v>0</v>
      </c>
      <c r="D10" s="42"/>
      <c r="E10" s="42"/>
      <c r="F10" s="158">
        <f t="shared" si="0"/>
        <v>0</v>
      </c>
    </row>
    <row r="11" spans="1:6" ht="18" customHeight="1" x14ac:dyDescent="0.4">
      <c r="B11" s="38" t="s">
        <v>253</v>
      </c>
      <c r="C11" s="39"/>
      <c r="D11" s="40"/>
      <c r="E11" s="40"/>
      <c r="F11" s="43">
        <f t="shared" si="0"/>
        <v>0</v>
      </c>
    </row>
    <row r="12" spans="1:6" ht="18" customHeight="1" x14ac:dyDescent="0.4">
      <c r="B12" s="77" t="s">
        <v>261</v>
      </c>
      <c r="C12" s="39"/>
      <c r="D12" s="42">
        <f>SUM(D7:D11)</f>
        <v>52969.57</v>
      </c>
      <c r="E12" s="42">
        <f>SUM(E7:E11)</f>
        <v>34878.800000000003</v>
      </c>
      <c r="F12" s="158">
        <f t="shared" si="0"/>
        <v>87848.37</v>
      </c>
    </row>
    <row r="13" spans="1:6" ht="18" customHeight="1" x14ac:dyDescent="0.4">
      <c r="B13" s="154" t="s">
        <v>257</v>
      </c>
      <c r="C13" s="155"/>
      <c r="D13" s="156"/>
      <c r="E13" s="156"/>
      <c r="F13" s="157"/>
    </row>
    <row r="14" spans="1:6" ht="18" customHeight="1" x14ac:dyDescent="0.4">
      <c r="B14" s="77" t="s">
        <v>258</v>
      </c>
      <c r="C14" s="39">
        <f>'Existing Businesses Financials'!P8</f>
        <v>0</v>
      </c>
      <c r="D14" s="42">
        <v>233.76</v>
      </c>
      <c r="E14" s="42"/>
      <c r="F14" s="158">
        <f t="shared" ref="F14:F19" si="1">SUM(D14:E14)</f>
        <v>233.76</v>
      </c>
    </row>
    <row r="15" spans="1:6" ht="18" customHeight="1" x14ac:dyDescent="0.4">
      <c r="B15" s="38" t="s">
        <v>259</v>
      </c>
      <c r="C15" s="39">
        <f>'Existing Businesses Financials'!P9</f>
        <v>0</v>
      </c>
      <c r="D15" s="40">
        <v>1632.34</v>
      </c>
      <c r="E15" s="40"/>
      <c r="F15" s="159">
        <f t="shared" si="1"/>
        <v>1632.34</v>
      </c>
    </row>
    <row r="16" spans="1:6" ht="18" customHeight="1" x14ac:dyDescent="0.4">
      <c r="B16" s="77" t="s">
        <v>260</v>
      </c>
      <c r="C16" s="39">
        <v>0</v>
      </c>
      <c r="D16" s="42">
        <v>22839</v>
      </c>
      <c r="E16" s="42">
        <v>19950</v>
      </c>
      <c r="F16" s="158">
        <f t="shared" si="1"/>
        <v>42789</v>
      </c>
    </row>
    <row r="17" spans="2:6" ht="18" customHeight="1" x14ac:dyDescent="0.4">
      <c r="B17" s="38" t="s">
        <v>253</v>
      </c>
      <c r="C17" s="39"/>
      <c r="D17" s="40"/>
      <c r="E17" s="40"/>
      <c r="F17" s="159">
        <f t="shared" si="1"/>
        <v>0</v>
      </c>
    </row>
    <row r="18" spans="2:6" ht="18" customHeight="1" x14ac:dyDescent="0.4">
      <c r="B18" s="77" t="s">
        <v>254</v>
      </c>
      <c r="C18" s="39">
        <f>'Existing Businesses Financials'!P11</f>
        <v>0</v>
      </c>
      <c r="D18" s="42"/>
      <c r="E18" s="42"/>
      <c r="F18" s="158">
        <f t="shared" si="1"/>
        <v>0</v>
      </c>
    </row>
    <row r="19" spans="2:6" ht="18" customHeight="1" x14ac:dyDescent="0.4">
      <c r="B19" s="44"/>
      <c r="C19" s="45"/>
      <c r="D19" s="40"/>
      <c r="E19" s="40"/>
      <c r="F19" s="159">
        <f t="shared" si="1"/>
        <v>0</v>
      </c>
    </row>
    <row r="20" spans="2:6" ht="18" customHeight="1" thickBot="1" x14ac:dyDescent="0.45">
      <c r="B20" s="30" t="s">
        <v>60</v>
      </c>
      <c r="C20" s="160">
        <f>SUM(C15:C18)</f>
        <v>0</v>
      </c>
      <c r="D20" s="160">
        <f>(SUM(D14:D19))</f>
        <v>24705.1</v>
      </c>
      <c r="E20" s="160">
        <f>(SUM(E14:E19))</f>
        <v>19950</v>
      </c>
      <c r="F20" s="160">
        <f>(SUM(F14:F19))</f>
        <v>44655.1</v>
      </c>
    </row>
    <row r="21" spans="2:6" ht="18" customHeight="1" x14ac:dyDescent="0.4">
      <c r="B21" s="26" t="s">
        <v>61</v>
      </c>
      <c r="C21" s="45"/>
      <c r="D21" s="28"/>
      <c r="E21" s="28"/>
      <c r="F21" s="49"/>
    </row>
    <row r="22" spans="2:6" ht="18" customHeight="1" thickBot="1" x14ac:dyDescent="0.45">
      <c r="B22" s="30" t="s">
        <v>62</v>
      </c>
      <c r="C22" s="47">
        <f>C12+C20</f>
        <v>0</v>
      </c>
      <c r="D22" s="47">
        <f>D12-D20</f>
        <v>28264.47</v>
      </c>
      <c r="E22" s="47">
        <f>E12-E20</f>
        <v>14928.800000000003</v>
      </c>
      <c r="F22" s="47">
        <f>F12-F20</f>
        <v>43193.27</v>
      </c>
    </row>
    <row r="23" spans="2:6" ht="18" customHeight="1" x14ac:dyDescent="0.4">
      <c r="B23" s="51" t="s">
        <v>63</v>
      </c>
      <c r="C23" s="52"/>
      <c r="D23" s="53"/>
      <c r="E23" s="53"/>
      <c r="F23" s="54"/>
    </row>
    <row r="24" spans="2:6" ht="18" customHeight="1" x14ac:dyDescent="0.4">
      <c r="B24" s="55" t="s">
        <v>64</v>
      </c>
      <c r="C24" s="40">
        <f>'Existing Businesses Financials'!P17</f>
        <v>0</v>
      </c>
      <c r="D24" s="161">
        <v>875</v>
      </c>
      <c r="E24" s="161">
        <v>3575</v>
      </c>
      <c r="F24" s="162">
        <f t="shared" ref="F24:F42" si="2">SUM(D24:E24)</f>
        <v>4450</v>
      </c>
    </row>
    <row r="25" spans="2:6" ht="18" customHeight="1" x14ac:dyDescent="0.4">
      <c r="B25" s="57" t="s">
        <v>65</v>
      </c>
      <c r="C25" s="40">
        <f>'Existing Businesses Financials'!P18</f>
        <v>0</v>
      </c>
      <c r="D25" s="168"/>
      <c r="E25" s="168"/>
      <c r="F25" s="163">
        <f t="shared" si="2"/>
        <v>0</v>
      </c>
    </row>
    <row r="26" spans="2:6" ht="18" customHeight="1" x14ac:dyDescent="0.4">
      <c r="B26" s="55" t="s">
        <v>66</v>
      </c>
      <c r="C26" s="40">
        <f>'Existing Businesses Financials'!P19</f>
        <v>0</v>
      </c>
      <c r="D26" s="161"/>
      <c r="E26" s="161"/>
      <c r="F26" s="162">
        <f t="shared" si="2"/>
        <v>0</v>
      </c>
    </row>
    <row r="27" spans="2:6" ht="18" customHeight="1" x14ac:dyDescent="0.4">
      <c r="B27" s="57" t="s">
        <v>67</v>
      </c>
      <c r="C27" s="40">
        <f>'Existing Businesses Financials'!P20</f>
        <v>0</v>
      </c>
      <c r="D27" s="168">
        <v>4912.66</v>
      </c>
      <c r="E27" s="168">
        <v>3478.56</v>
      </c>
      <c r="F27" s="163">
        <f t="shared" si="2"/>
        <v>8391.2199999999993</v>
      </c>
    </row>
    <row r="28" spans="2:6" ht="18" customHeight="1" x14ac:dyDescent="0.4">
      <c r="B28" s="55" t="s">
        <v>68</v>
      </c>
      <c r="C28" s="40">
        <f>'Existing Businesses Financials'!P21</f>
        <v>0</v>
      </c>
      <c r="D28" s="161">
        <f>997.46+47</f>
        <v>1044.46</v>
      </c>
      <c r="E28" s="161">
        <v>46</v>
      </c>
      <c r="F28" s="162">
        <f t="shared" si="2"/>
        <v>1090.46</v>
      </c>
    </row>
    <row r="29" spans="2:6" ht="18" customHeight="1" x14ac:dyDescent="0.4">
      <c r="B29" s="57" t="s">
        <v>69</v>
      </c>
      <c r="C29" s="40">
        <f>'Existing Businesses Financials'!P22</f>
        <v>0</v>
      </c>
      <c r="D29" s="168">
        <v>733</v>
      </c>
      <c r="E29" s="168">
        <v>115</v>
      </c>
      <c r="F29" s="163">
        <f t="shared" si="2"/>
        <v>848</v>
      </c>
    </row>
    <row r="30" spans="2:6" ht="18" customHeight="1" x14ac:dyDescent="0.4">
      <c r="B30" s="55" t="s">
        <v>70</v>
      </c>
      <c r="C30" s="40">
        <f>'Existing Businesses Financials'!P23</f>
        <v>0</v>
      </c>
      <c r="D30" s="161">
        <v>20</v>
      </c>
      <c r="E30" s="161">
        <v>0</v>
      </c>
      <c r="F30" s="162">
        <f t="shared" si="2"/>
        <v>20</v>
      </c>
    </row>
    <row r="31" spans="2:6" ht="18" customHeight="1" x14ac:dyDescent="0.4">
      <c r="B31" s="57" t="s">
        <v>71</v>
      </c>
      <c r="C31" s="40">
        <f>'Existing Businesses Financials'!P24</f>
        <v>0</v>
      </c>
      <c r="D31" s="168">
        <f>839.74+1493.5</f>
        <v>2333.2399999999998</v>
      </c>
      <c r="E31" s="168">
        <v>1818.21</v>
      </c>
      <c r="F31" s="163">
        <f>SUM(D31:E31)</f>
        <v>4151.45</v>
      </c>
    </row>
    <row r="32" spans="2:6" ht="18" customHeight="1" x14ac:dyDescent="0.4">
      <c r="B32" s="55" t="s">
        <v>72</v>
      </c>
      <c r="C32" s="40">
        <f>'Existing Businesses Financials'!P25</f>
        <v>0</v>
      </c>
      <c r="D32" s="161"/>
      <c r="E32" s="161"/>
      <c r="F32" s="162">
        <f t="shared" si="2"/>
        <v>0</v>
      </c>
    </row>
    <row r="33" spans="2:6" ht="18" customHeight="1" x14ac:dyDescent="0.4">
      <c r="B33" s="57" t="s">
        <v>73</v>
      </c>
      <c r="C33" s="40">
        <f>'Existing Businesses Financials'!P26</f>
        <v>0</v>
      </c>
      <c r="D33" s="168"/>
      <c r="E33" s="168"/>
      <c r="F33" s="163">
        <f t="shared" si="2"/>
        <v>0</v>
      </c>
    </row>
    <row r="34" spans="2:6" ht="18" customHeight="1" x14ac:dyDescent="0.4">
      <c r="B34" s="55" t="s">
        <v>263</v>
      </c>
      <c r="C34" s="40">
        <f>'Existing Businesses Financials'!P27</f>
        <v>0</v>
      </c>
      <c r="D34" s="161">
        <v>689.65</v>
      </c>
      <c r="E34" s="161"/>
      <c r="F34" s="162">
        <f t="shared" si="2"/>
        <v>689.65</v>
      </c>
    </row>
    <row r="35" spans="2:6" ht="18" customHeight="1" x14ac:dyDescent="0.4">
      <c r="B35" s="57" t="s">
        <v>75</v>
      </c>
      <c r="C35" s="40">
        <f>'Existing Businesses Financials'!P28</f>
        <v>0</v>
      </c>
      <c r="D35" s="168"/>
      <c r="E35" s="168"/>
      <c r="F35" s="163">
        <f t="shared" si="2"/>
        <v>0</v>
      </c>
    </row>
    <row r="36" spans="2:6" ht="18" customHeight="1" x14ac:dyDescent="0.4">
      <c r="B36" s="55" t="s">
        <v>76</v>
      </c>
      <c r="C36" s="40">
        <f>'Existing Businesses Financials'!P29</f>
        <v>0</v>
      </c>
      <c r="D36" s="161"/>
      <c r="E36" s="161"/>
      <c r="F36" s="162">
        <f t="shared" si="2"/>
        <v>0</v>
      </c>
    </row>
    <row r="37" spans="2:6" ht="18" customHeight="1" x14ac:dyDescent="0.4">
      <c r="B37" s="57" t="s">
        <v>77</v>
      </c>
      <c r="C37" s="40">
        <f>'Existing Businesses Financials'!P30</f>
        <v>0</v>
      </c>
      <c r="D37" s="168">
        <v>4037.08</v>
      </c>
      <c r="E37" s="168">
        <v>2557.9899999999998</v>
      </c>
      <c r="F37" s="163">
        <f t="shared" si="2"/>
        <v>6595.07</v>
      </c>
    </row>
    <row r="38" spans="2:6" ht="18" customHeight="1" x14ac:dyDescent="0.4">
      <c r="B38" s="55" t="s">
        <v>78</v>
      </c>
      <c r="C38" s="40">
        <f>'Existing Businesses Financials'!P31</f>
        <v>0</v>
      </c>
      <c r="D38" s="161"/>
      <c r="E38" s="161"/>
      <c r="F38" s="162">
        <f t="shared" si="2"/>
        <v>0</v>
      </c>
    </row>
    <row r="39" spans="2:6" ht="18" customHeight="1" x14ac:dyDescent="0.4">
      <c r="B39" s="57" t="s">
        <v>262</v>
      </c>
      <c r="C39" s="40">
        <f>'Existing Businesses Financials'!P32</f>
        <v>0</v>
      </c>
      <c r="D39" s="168">
        <v>669.8</v>
      </c>
      <c r="E39" s="168">
        <v>560.6</v>
      </c>
      <c r="F39" s="163">
        <f t="shared" si="2"/>
        <v>1230.4000000000001</v>
      </c>
    </row>
    <row r="40" spans="2:6" ht="18" customHeight="1" x14ac:dyDescent="0.4">
      <c r="B40" s="55" t="s">
        <v>264</v>
      </c>
      <c r="C40" s="40">
        <f>'Existing Businesses Financials'!P33</f>
        <v>0</v>
      </c>
      <c r="D40" s="161">
        <v>836.36</v>
      </c>
      <c r="E40" s="161">
        <v>119.88</v>
      </c>
      <c r="F40" s="162">
        <f t="shared" si="2"/>
        <v>956.24</v>
      </c>
    </row>
    <row r="41" spans="2:6" ht="18" customHeight="1" x14ac:dyDescent="0.4">
      <c r="B41" s="57" t="s">
        <v>265</v>
      </c>
      <c r="C41" s="40">
        <f>'Existing Businesses Financials'!P34</f>
        <v>0</v>
      </c>
      <c r="D41" s="168">
        <v>1585.2</v>
      </c>
      <c r="E41" s="168"/>
      <c r="F41" s="163">
        <f t="shared" si="2"/>
        <v>1585.2</v>
      </c>
    </row>
    <row r="42" spans="2:6" ht="18" customHeight="1" x14ac:dyDescent="0.4">
      <c r="B42" s="55" t="s">
        <v>80</v>
      </c>
      <c r="C42" s="40">
        <f>'Existing Businesses Financials'!P35</f>
        <v>0</v>
      </c>
      <c r="D42" s="161"/>
      <c r="E42" s="161"/>
      <c r="F42" s="162">
        <f t="shared" si="2"/>
        <v>0</v>
      </c>
    </row>
    <row r="43" spans="2:6" ht="18" customHeight="1" thickBot="1" x14ac:dyDescent="0.45">
      <c r="B43" s="59" t="s">
        <v>81</v>
      </c>
      <c r="C43" s="47">
        <f>SUM(C24:C42)</f>
        <v>0</v>
      </c>
      <c r="D43" s="169">
        <f>SUM(D24:D42)</f>
        <v>17736.45</v>
      </c>
      <c r="E43" s="169">
        <f>SUM(E24:E42)</f>
        <v>12271.24</v>
      </c>
      <c r="F43" s="164">
        <v>0</v>
      </c>
    </row>
    <row r="44" spans="2:6" ht="18" customHeight="1" x14ac:dyDescent="0.4">
      <c r="B44" s="55" t="s">
        <v>82</v>
      </c>
      <c r="C44" s="40">
        <f>'Existing Businesses Financials'!P37</f>
        <v>0</v>
      </c>
      <c r="D44" s="161"/>
      <c r="E44" s="161"/>
      <c r="F44" s="162">
        <f t="shared" ref="F44:F49" si="3">SUM(D44:E44)</f>
        <v>0</v>
      </c>
    </row>
    <row r="45" spans="2:6" ht="18" customHeight="1" x14ac:dyDescent="0.4">
      <c r="B45" s="57" t="s">
        <v>83</v>
      </c>
      <c r="C45" s="40">
        <f>'Existing Businesses Financials'!P38</f>
        <v>0</v>
      </c>
      <c r="D45" s="168"/>
      <c r="E45" s="168"/>
      <c r="F45" s="163">
        <f t="shared" si="3"/>
        <v>0</v>
      </c>
    </row>
    <row r="46" spans="2:6" ht="18" customHeight="1" x14ac:dyDescent="0.4">
      <c r="B46" s="55" t="s">
        <v>84</v>
      </c>
      <c r="C46" s="40">
        <f>'Existing Businesses Financials'!P39</f>
        <v>0</v>
      </c>
      <c r="D46" s="161"/>
      <c r="E46" s="161"/>
      <c r="F46" s="162">
        <f t="shared" si="3"/>
        <v>0</v>
      </c>
    </row>
    <row r="47" spans="2:6" ht="18" customHeight="1" x14ac:dyDescent="0.4">
      <c r="B47" s="57" t="s">
        <v>85</v>
      </c>
      <c r="C47" s="40">
        <f>'Existing Businesses Financials'!P40</f>
        <v>0</v>
      </c>
      <c r="D47" s="168"/>
      <c r="E47" s="168"/>
      <c r="F47" s="163">
        <f t="shared" si="3"/>
        <v>0</v>
      </c>
    </row>
    <row r="48" spans="2:6" ht="18" customHeight="1" x14ac:dyDescent="0.4">
      <c r="B48" s="55" t="s">
        <v>86</v>
      </c>
      <c r="C48" s="40">
        <f>'Existing Businesses Financials'!P41</f>
        <v>0</v>
      </c>
      <c r="D48" s="161"/>
      <c r="E48" s="161"/>
      <c r="F48" s="162">
        <f t="shared" si="3"/>
        <v>0</v>
      </c>
    </row>
    <row r="49" spans="2:6" ht="18" customHeight="1" x14ac:dyDescent="0.4">
      <c r="B49" s="51" t="s">
        <v>87</v>
      </c>
      <c r="C49" s="52"/>
      <c r="D49" s="168"/>
      <c r="E49" s="168"/>
      <c r="F49" s="163">
        <f t="shared" si="3"/>
        <v>0</v>
      </c>
    </row>
    <row r="50" spans="2:6" ht="18" customHeight="1" thickBot="1" x14ac:dyDescent="0.45">
      <c r="B50" s="60" t="s">
        <v>88</v>
      </c>
      <c r="C50" s="47">
        <f>SUM(C43:C48)</f>
        <v>0</v>
      </c>
      <c r="D50" s="169">
        <f>SUM(D43:D48)</f>
        <v>17736.45</v>
      </c>
      <c r="E50" s="169">
        <f>SUM(E43:E48)</f>
        <v>12271.24</v>
      </c>
      <c r="F50" s="172">
        <f>SUM(C50:E50)</f>
        <v>30007.690000000002</v>
      </c>
    </row>
    <row r="51" spans="2:6" ht="18" customHeight="1" x14ac:dyDescent="0.4">
      <c r="B51" s="61" t="s">
        <v>89</v>
      </c>
      <c r="C51" s="62"/>
      <c r="D51" s="165"/>
      <c r="E51" s="165"/>
      <c r="F51" s="166"/>
    </row>
    <row r="52" spans="2:6" ht="18" customHeight="1" thickBot="1" x14ac:dyDescent="0.45">
      <c r="B52" s="65" t="s">
        <v>266</v>
      </c>
      <c r="C52" s="47">
        <f>C22-C50</f>
        <v>0</v>
      </c>
      <c r="D52" s="169">
        <f>D22-D50</f>
        <v>10528.02</v>
      </c>
      <c r="E52" s="169">
        <f>E22-E50</f>
        <v>2657.5600000000031</v>
      </c>
      <c r="F52" s="167"/>
    </row>
    <row r="53" spans="2:6" ht="18" hidden="1" customHeight="1" x14ac:dyDescent="0.4">
      <c r="B53" s="67" t="s">
        <v>91</v>
      </c>
      <c r="C53" s="52"/>
      <c r="D53" s="53"/>
      <c r="E53" s="53"/>
      <c r="F53" s="54"/>
    </row>
    <row r="54" spans="2:6" ht="18" hidden="1" customHeight="1" x14ac:dyDescent="0.4">
      <c r="B54" s="68" t="s">
        <v>92</v>
      </c>
      <c r="C54" s="40"/>
      <c r="D54" s="40"/>
      <c r="E54" s="40"/>
      <c r="F54" s="171"/>
    </row>
    <row r="55" spans="2:6" ht="18" hidden="1" customHeight="1" x14ac:dyDescent="0.4">
      <c r="B55" s="69" t="s">
        <v>93</v>
      </c>
      <c r="C55" s="70">
        <f>'Existing Businesses Financials'!P49</f>
        <v>0</v>
      </c>
      <c r="D55" s="52"/>
      <c r="E55" s="53"/>
      <c r="F55" s="58">
        <f>SUM(D55:E55)</f>
        <v>0</v>
      </c>
    </row>
    <row r="56" spans="2:6" ht="18" hidden="1" customHeight="1" x14ac:dyDescent="0.4">
      <c r="B56" s="71" t="s">
        <v>94</v>
      </c>
      <c r="C56" s="70">
        <f>'Existing Businesses Financials'!P50</f>
        <v>0</v>
      </c>
      <c r="D56" s="40"/>
      <c r="E56" s="40"/>
      <c r="F56" s="72"/>
    </row>
    <row r="57" spans="2:6" ht="18" hidden="1" customHeight="1" x14ac:dyDescent="0.4">
      <c r="B57" s="69" t="s">
        <v>95</v>
      </c>
      <c r="C57" s="70">
        <f>'Existing Businesses Financials'!P51</f>
        <v>0</v>
      </c>
      <c r="D57" s="52"/>
      <c r="E57" s="53"/>
      <c r="F57" s="58">
        <f>SUM(D57:E57)</f>
        <v>0</v>
      </c>
    </row>
    <row r="58" spans="2:6" ht="18" hidden="1" customHeight="1" x14ac:dyDescent="0.4">
      <c r="B58" s="71" t="s">
        <v>96</v>
      </c>
      <c r="C58" s="70">
        <f>'Existing Businesses Financials'!P52</f>
        <v>0</v>
      </c>
      <c r="D58" s="40"/>
      <c r="E58" s="40"/>
      <c r="F58" s="72"/>
    </row>
    <row r="59" spans="2:6" ht="18" hidden="1" customHeight="1" x14ac:dyDescent="0.4">
      <c r="B59" s="69" t="s">
        <v>97</v>
      </c>
      <c r="C59" s="70">
        <f>'Existing Businesses Financials'!P53</f>
        <v>0</v>
      </c>
      <c r="D59" s="52"/>
      <c r="E59" s="53"/>
      <c r="F59" s="72"/>
    </row>
    <row r="60" spans="2:6" ht="18" hidden="1" customHeight="1" x14ac:dyDescent="0.4">
      <c r="B60" s="71" t="s">
        <v>98</v>
      </c>
      <c r="C60" s="70">
        <f>'Existing Businesses Financials'!P54</f>
        <v>0</v>
      </c>
      <c r="D60" s="40"/>
      <c r="E60" s="40"/>
      <c r="F60" s="56">
        <f>SUM(D60:E60)</f>
        <v>0</v>
      </c>
    </row>
    <row r="61" spans="2:6" hidden="1" x14ac:dyDescent="0.4"/>
    <row r="62" spans="2:6" hidden="1" x14ac:dyDescent="0.4"/>
    <row r="63" spans="2:6" ht="18" hidden="1" customHeight="1" x14ac:dyDescent="0.4">
      <c r="B63" s="147" t="s">
        <v>99</v>
      </c>
    </row>
    <row r="64" spans="2:6" ht="18" hidden="1" customHeight="1" x14ac:dyDescent="0.4">
      <c r="B64" s="74" t="s">
        <v>100</v>
      </c>
      <c r="C64" s="75" t="e">
        <f>+IF(D6+F20-F49=#REF!,"Verified","Error")</f>
        <v>#REF!</v>
      </c>
    </row>
    <row r="65" spans="2:3" ht="18" hidden="1" customHeight="1" x14ac:dyDescent="0.4">
      <c r="B65" s="74" t="s">
        <v>101</v>
      </c>
      <c r="C65" s="76" t="e">
        <f>+IF(F52+C53-F15-F16-F54=#REF!,"Verified","Error")</f>
        <v>#REF!</v>
      </c>
    </row>
    <row r="66" spans="2:3" ht="18" hidden="1" customHeight="1" x14ac:dyDescent="0.4">
      <c r="B66" s="74" t="s">
        <v>102</v>
      </c>
      <c r="C66" s="76" t="str">
        <f>+IF(F49=SUM(F44:F48),"Verified","Error")</f>
        <v>Verified</v>
      </c>
    </row>
    <row r="67" spans="2:3" ht="18" hidden="1" customHeight="1" x14ac:dyDescent="0.4">
      <c r="B67" s="74" t="s">
        <v>103</v>
      </c>
      <c r="C67" s="76" t="str">
        <f>+IF(SUM(D20:E20)=SUM(F15:F18),"Verified","Error")</f>
        <v>Error</v>
      </c>
    </row>
  </sheetData>
  <mergeCells count="1">
    <mergeCell ref="B2:F2"/>
  </mergeCells>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3"/>
  <sheetViews>
    <sheetView topLeftCell="A20" workbookViewId="0">
      <selection activeCell="B3" sqref="B3"/>
    </sheetView>
  </sheetViews>
  <sheetFormatPr defaultColWidth="11.42578125" defaultRowHeight="13.15" x14ac:dyDescent="0.4"/>
  <cols>
    <col min="1" max="1" width="3.78515625" customWidth="1"/>
    <col min="2" max="2" width="7.42578125" customWidth="1"/>
    <col min="3" max="3" width="27.5703125" customWidth="1"/>
    <col min="4" max="4" width="14.42578125" customWidth="1"/>
    <col min="5" max="5" width="13.42578125" customWidth="1"/>
    <col min="6" max="6" width="13.78515625" customWidth="1"/>
    <col min="7" max="7" width="16.5703125" customWidth="1"/>
    <col min="8" max="8" width="16.78515625" customWidth="1"/>
    <col min="9" max="9" width="14.78515625" customWidth="1"/>
  </cols>
  <sheetData>
    <row r="1" spans="1:9" x14ac:dyDescent="0.4">
      <c r="A1" s="196"/>
      <c r="B1" s="196"/>
      <c r="C1" s="196"/>
      <c r="D1" s="196"/>
      <c r="E1" s="196"/>
      <c r="F1" s="196"/>
      <c r="G1" s="196"/>
      <c r="H1" s="196"/>
      <c r="I1" s="197"/>
    </row>
    <row r="2" spans="1:9" ht="31.15" thickBot="1" x14ac:dyDescent="0.45">
      <c r="A2" s="198"/>
      <c r="B2" s="457" t="s">
        <v>436</v>
      </c>
      <c r="C2" s="457"/>
      <c r="D2" s="457"/>
      <c r="E2" s="457"/>
      <c r="F2" s="457"/>
      <c r="G2" s="457"/>
      <c r="H2" s="457"/>
      <c r="I2" s="457"/>
    </row>
    <row r="3" spans="1:9" ht="16.149999999999999" thickTop="1" x14ac:dyDescent="0.4">
      <c r="A3" s="199"/>
      <c r="B3" s="200" t="str">
        <f>'Project Costs'!D1</f>
        <v>Business Name</v>
      </c>
      <c r="C3" s="200"/>
      <c r="D3" s="198"/>
      <c r="E3" s="198"/>
      <c r="F3" s="198"/>
      <c r="G3" s="198"/>
      <c r="H3" s="198"/>
      <c r="I3" s="201"/>
    </row>
    <row r="4" spans="1:9" ht="13.5" x14ac:dyDescent="0.4">
      <c r="A4" s="198"/>
      <c r="B4" s="202" t="s">
        <v>273</v>
      </c>
      <c r="C4" s="202"/>
      <c r="D4" s="198"/>
      <c r="E4" s="198"/>
      <c r="F4" s="198"/>
      <c r="G4" s="198" t="s">
        <v>435</v>
      </c>
      <c r="H4" s="198" t="s">
        <v>435</v>
      </c>
      <c r="I4" s="201"/>
    </row>
    <row r="5" spans="1:9" ht="13.5" thickBot="1" x14ac:dyDescent="0.45">
      <c r="A5" s="198"/>
      <c r="B5" s="203"/>
      <c r="C5" s="203"/>
      <c r="D5" s="204">
        <v>2021</v>
      </c>
      <c r="E5" s="205">
        <v>2022</v>
      </c>
      <c r="F5" s="205">
        <v>2023</v>
      </c>
      <c r="G5" s="205">
        <v>2024</v>
      </c>
      <c r="H5" s="205">
        <v>2025</v>
      </c>
      <c r="I5" s="206" t="s">
        <v>53</v>
      </c>
    </row>
    <row r="6" spans="1:9" x14ac:dyDescent="0.4">
      <c r="A6" s="198">
        <f>'Monthly Cashflow Projection'!A3</f>
        <v>3</v>
      </c>
      <c r="B6" s="458" t="str">
        <f>'Monthly Cashflow Projection'!C3</f>
        <v>Cash Sales</v>
      </c>
      <c r="C6" s="459"/>
      <c r="D6" s="207">
        <f>SUM('Monthly Cashflow Projection'!E3:P3)</f>
        <v>0</v>
      </c>
      <c r="E6" s="208">
        <f>SUM('Monthly Cashflow Projection'!Q3:AB3)</f>
        <v>0</v>
      </c>
      <c r="F6" s="208">
        <f>SUM('Monthly Cashflow Projection'!AC3:AN3)</f>
        <v>0</v>
      </c>
      <c r="G6" s="208">
        <f>F6*1.03</f>
        <v>0</v>
      </c>
      <c r="H6" s="208">
        <f>G6*1.03</f>
        <v>0</v>
      </c>
      <c r="I6" s="209">
        <f>SUM(D6:H6)</f>
        <v>0</v>
      </c>
    </row>
    <row r="7" spans="1:9" ht="39" customHeight="1" x14ac:dyDescent="0.4">
      <c r="A7" s="198">
        <f>'Monthly Cashflow Projection'!A4</f>
        <v>4</v>
      </c>
      <c r="B7" s="460" t="str">
        <f>'Monthly Cashflow Projection'!C4</f>
        <v>Collections from Accounts Receivable</v>
      </c>
      <c r="C7" s="461"/>
      <c r="D7" s="283">
        <f>SUM('Monthly Cashflow Projection'!E12:P12)</f>
        <v>0</v>
      </c>
      <c r="E7" s="284">
        <f>SUM('Monthly Cashflow Projection'!Q4:AB4)</f>
        <v>0</v>
      </c>
      <c r="F7" s="284">
        <f>SUM('Monthly Cashflow Projection'!AC4:AN4)</f>
        <v>0</v>
      </c>
      <c r="G7" s="210"/>
      <c r="H7" s="210"/>
      <c r="I7" s="211">
        <f>SUM(D7:H7)</f>
        <v>0</v>
      </c>
    </row>
    <row r="8" spans="1:9" ht="65" customHeight="1" x14ac:dyDescent="0.4">
      <c r="A8" s="198">
        <f>'Monthly Cashflow Projection'!A5</f>
        <v>5</v>
      </c>
      <c r="B8" s="453" t="str">
        <f>'Monthly Cashflow Projection'!C5</f>
        <v>Equity Received (outside employment wages added)</v>
      </c>
      <c r="C8" s="454"/>
      <c r="D8" s="207">
        <f>SUM('Monthly Cashflow Projection'!L5:P5)</f>
        <v>0</v>
      </c>
      <c r="E8" s="208">
        <f>SUM('Monthly Cashflow Projection'!Q5:AB5)</f>
        <v>0</v>
      </c>
      <c r="F8" s="208">
        <f>SUM('Monthly Cashflow Projection'!AC5:AN5)</f>
        <v>0</v>
      </c>
      <c r="G8" s="208">
        <f>F8*1.03</f>
        <v>0</v>
      </c>
      <c r="H8" s="208">
        <f>G8*1.03</f>
        <v>0</v>
      </c>
      <c r="I8" s="209">
        <f t="shared" ref="I8:I13" si="0">SUM(D8:H8)</f>
        <v>0</v>
      </c>
    </row>
    <row r="9" spans="1:9" ht="26" customHeight="1" x14ac:dyDescent="0.4">
      <c r="A9" s="198">
        <f>'Monthly Cashflow Projection'!A6</f>
        <v>6</v>
      </c>
      <c r="B9" s="462" t="str">
        <f>'Monthly Cashflow Projection'!C6</f>
        <v>E-Community Loan Proceeds</v>
      </c>
      <c r="C9" s="463"/>
      <c r="D9" s="283">
        <f>SUM('Monthly Cashflow Projection'!E14:P14)</f>
        <v>0</v>
      </c>
      <c r="E9" s="284">
        <f>SUM('Monthly Cashflow Projection'!Q6:AB6)</f>
        <v>0</v>
      </c>
      <c r="F9" s="284">
        <f>SUM('Monthly Cashflow Projection'!AC6:AN6)</f>
        <v>0</v>
      </c>
      <c r="G9" s="284"/>
      <c r="H9" s="210"/>
      <c r="I9" s="211">
        <f t="shared" si="0"/>
        <v>0</v>
      </c>
    </row>
    <row r="10" spans="1:9" ht="26" customHeight="1" x14ac:dyDescent="0.4">
      <c r="A10" s="198">
        <f>'Monthly Cashflow Projection'!A9</f>
        <v>7</v>
      </c>
      <c r="B10" s="453" t="str">
        <f>'Monthly Cashflow Projection'!C9</f>
        <v>Bank Loan Proceeds</v>
      </c>
      <c r="C10" s="454"/>
      <c r="D10" s="207">
        <f>SUM('Monthly Cashflow Projection'!E16:P16)</f>
        <v>0</v>
      </c>
      <c r="E10" s="208">
        <f>SUM('Monthly Cashflow Projection'!Q9:AB9)</f>
        <v>0</v>
      </c>
      <c r="F10" s="208">
        <f>SUM('Monthly Cashflow Projection'!AC9:AN9)</f>
        <v>0</v>
      </c>
      <c r="G10" s="208"/>
      <c r="H10" s="208"/>
      <c r="I10" s="209">
        <f t="shared" si="0"/>
        <v>0</v>
      </c>
    </row>
    <row r="11" spans="1:9" ht="26" customHeight="1" x14ac:dyDescent="0.4">
      <c r="A11" s="198">
        <f>'Monthly Cashflow Projection'!A10</f>
        <v>8</v>
      </c>
      <c r="B11" s="462" t="s">
        <v>432</v>
      </c>
      <c r="C11" s="463"/>
      <c r="D11" s="442">
        <f>'Project Costs'!D98+'Project Costs'!D99+'Project Costs'!D101</f>
        <v>0</v>
      </c>
      <c r="E11" s="443"/>
      <c r="F11" s="443"/>
      <c r="G11" s="443"/>
      <c r="H11" s="443"/>
      <c r="I11" s="444"/>
    </row>
    <row r="12" spans="1:9" ht="26" customHeight="1" x14ac:dyDescent="0.4">
      <c r="A12" s="198">
        <f>'Monthly Cashflow Projection'!A11</f>
        <v>9</v>
      </c>
      <c r="B12" s="453" t="s">
        <v>433</v>
      </c>
      <c r="C12" s="454"/>
      <c r="D12" s="207">
        <f>'Project Costs'!D100+'Project Costs'!D102+'Project Costs'!D104</f>
        <v>0</v>
      </c>
      <c r="E12" s="208"/>
      <c r="F12" s="208"/>
      <c r="G12" s="208"/>
      <c r="H12" s="208"/>
      <c r="I12" s="209"/>
    </row>
    <row r="13" spans="1:9" ht="13.5" thickBot="1" x14ac:dyDescent="0.45">
      <c r="A13" s="198">
        <f>'Monthly Cashflow Projection'!A12</f>
        <v>10</v>
      </c>
      <c r="B13" s="455" t="str">
        <f>'Monthly Cashflow Projection'!C10</f>
        <v>Sinking Fund</v>
      </c>
      <c r="C13" s="456"/>
      <c r="D13" s="283">
        <f>SUM('Monthly Cashflow Projection'!E17:P17)</f>
        <v>0</v>
      </c>
      <c r="E13" s="284">
        <f>SUM('Monthly Cashflow Projection'!Q10:AB10)</f>
        <v>0</v>
      </c>
      <c r="F13" s="284">
        <f>SUM('Monthly Cashflow Projection'!AC10:AN10)</f>
        <v>0</v>
      </c>
      <c r="G13" s="210"/>
      <c r="H13" s="210"/>
      <c r="I13" s="211">
        <f t="shared" si="0"/>
        <v>0</v>
      </c>
    </row>
    <row r="14" spans="1:9" ht="23.65" thickBot="1" x14ac:dyDescent="0.45">
      <c r="A14" s="198">
        <f>'Monthly Cashflow Projection'!A13</f>
        <v>11</v>
      </c>
      <c r="B14" s="280" t="str">
        <f>'Monthly Cashflow Projection'!B11</f>
        <v>Total Cash In</v>
      </c>
      <c r="C14" s="288"/>
      <c r="D14" s="281">
        <f>SUM(D6:D13)</f>
        <v>0</v>
      </c>
      <c r="E14" s="281">
        <f t="shared" ref="E14:H14" si="1">SUM(E6:E13)</f>
        <v>0</v>
      </c>
      <c r="F14" s="281">
        <f t="shared" si="1"/>
        <v>0</v>
      </c>
      <c r="G14" s="281">
        <f t="shared" si="1"/>
        <v>0</v>
      </c>
      <c r="H14" s="281">
        <f t="shared" si="1"/>
        <v>0</v>
      </c>
      <c r="I14" s="282">
        <f>SUM(D14:H14)</f>
        <v>0</v>
      </c>
    </row>
    <row r="15" spans="1:9" ht="13.5" thickBot="1" x14ac:dyDescent="0.45">
      <c r="A15" s="198">
        <f>'Monthly Cashflow Projection'!A14</f>
        <v>12</v>
      </c>
      <c r="B15" s="287" t="str">
        <f>'Monthly Cashflow Projection'!B12</f>
        <v>Cash Out</v>
      </c>
      <c r="C15" s="289"/>
      <c r="D15" s="285"/>
      <c r="E15" s="285"/>
      <c r="F15" s="285"/>
      <c r="G15" s="285"/>
      <c r="H15" s="285"/>
      <c r="I15" s="286">
        <f>SUM(E15:H15)</f>
        <v>0</v>
      </c>
    </row>
    <row r="16" spans="1:9" x14ac:dyDescent="0.4">
      <c r="A16" s="198">
        <f>'Monthly Cashflow Projection'!A15</f>
        <v>0</v>
      </c>
      <c r="B16" s="213" t="str">
        <f>'Monthly Cashflow Projection'!C13</f>
        <v>Inventory Expenditures</v>
      </c>
      <c r="C16" s="213"/>
      <c r="D16" s="214"/>
      <c r="E16" s="215"/>
      <c r="F16" s="215"/>
      <c r="G16" s="215"/>
      <c r="H16" s="215"/>
      <c r="I16" s="216">
        <f>SUM(E16:H16)</f>
        <v>0</v>
      </c>
    </row>
    <row r="17" spans="1:9" x14ac:dyDescent="0.4">
      <c r="A17" s="198">
        <f>'Monthly Cashflow Projection'!A16</f>
        <v>13</v>
      </c>
      <c r="B17" s="219"/>
      <c r="C17" s="290" t="str">
        <f>'Monthly Cashflow Projection'!D14</f>
        <v>Cost of goods</v>
      </c>
      <c r="D17" s="291">
        <f>SUM('Monthly Cashflow Projection'!E14:P14)</f>
        <v>0</v>
      </c>
      <c r="E17" s="292">
        <f>SUM('Monthly Cashflow Projection'!Q14:AB14)</f>
        <v>0</v>
      </c>
      <c r="F17" s="292">
        <f>SUM('Monthly Cashflow Projection'!AC14:AN14)</f>
        <v>0</v>
      </c>
      <c r="G17" s="292">
        <f>F17*1.02</f>
        <v>0</v>
      </c>
      <c r="H17" s="292">
        <f>G17*1.02</f>
        <v>0</v>
      </c>
      <c r="I17" s="293">
        <f t="shared" ref="I17:I32" si="2">SUM(E17:H17)</f>
        <v>0</v>
      </c>
    </row>
    <row r="18" spans="1:9" x14ac:dyDescent="0.4">
      <c r="A18" s="198"/>
      <c r="B18" s="219"/>
      <c r="C18" s="290" t="str">
        <f>'Monthly Cashflow Projection'!D15</f>
        <v>Pastries</v>
      </c>
      <c r="D18" s="291">
        <f>SUM('Monthly Cashflow Projection'!E15:P15)</f>
        <v>0</v>
      </c>
      <c r="E18" s="292">
        <f>SUM('Monthly Cashflow Projection'!Q15:AB15)</f>
        <v>0</v>
      </c>
      <c r="F18" s="292">
        <f>SUM('Monthly Cashflow Projection'!AC15:AN15)</f>
        <v>0</v>
      </c>
      <c r="G18" s="292">
        <f t="shared" ref="G18:H18" si="3">F18*1.02</f>
        <v>0</v>
      </c>
      <c r="H18" s="292">
        <f t="shared" si="3"/>
        <v>0</v>
      </c>
      <c r="I18" s="445"/>
    </row>
    <row r="19" spans="1:9" x14ac:dyDescent="0.4">
      <c r="A19" s="198">
        <f>'Monthly Cashflow Projection'!A17</f>
        <v>14</v>
      </c>
      <c r="B19" s="213"/>
      <c r="C19" s="294" t="str">
        <f>'Monthly Cashflow Projection'!D16</f>
        <v>Coffee</v>
      </c>
      <c r="D19" s="214">
        <f>SUM('Monthly Cashflow Projection'!E16:P16)</f>
        <v>0</v>
      </c>
      <c r="E19" s="215">
        <f>SUM('Monthly Cashflow Projection'!Q16:AB16)</f>
        <v>0</v>
      </c>
      <c r="F19" s="215">
        <f>SUM('Monthly Cashflow Projection'!AC16:AN16)</f>
        <v>0</v>
      </c>
      <c r="G19" s="292">
        <f t="shared" ref="G19:H19" si="4">F19*1.02</f>
        <v>0</v>
      </c>
      <c r="H19" s="292">
        <f t="shared" si="4"/>
        <v>0</v>
      </c>
      <c r="I19" s="216">
        <f t="shared" si="2"/>
        <v>0</v>
      </c>
    </row>
    <row r="20" spans="1:9" x14ac:dyDescent="0.4">
      <c r="A20" s="198">
        <f>'Monthly Cashflow Projection'!A18</f>
        <v>15</v>
      </c>
      <c r="B20" s="219" t="str">
        <f>'Monthly Cashflow Projection'!C17</f>
        <v>Operating Expenses</v>
      </c>
      <c r="C20" s="290"/>
      <c r="D20" s="291"/>
      <c r="E20" s="215">
        <f>SUM('Monthly Cashflow Projection'!Q17:AB17)</f>
        <v>0</v>
      </c>
      <c r="F20" s="215">
        <f>SUM('Monthly Cashflow Projection'!AC17:AN17)</f>
        <v>0</v>
      </c>
      <c r="G20" s="292">
        <f t="shared" ref="G20:H20" si="5">F20*1.02</f>
        <v>0</v>
      </c>
      <c r="H20" s="292">
        <f t="shared" si="5"/>
        <v>0</v>
      </c>
      <c r="I20" s="217">
        <f t="shared" si="2"/>
        <v>0</v>
      </c>
    </row>
    <row r="21" spans="1:9" x14ac:dyDescent="0.4">
      <c r="A21" s="198">
        <f>'Monthly Cashflow Projection'!A19</f>
        <v>16</v>
      </c>
      <c r="B21" s="213"/>
      <c r="C21" s="294" t="str">
        <f>'Monthly Cashflow Projection'!D18</f>
        <v>Advertising</v>
      </c>
      <c r="D21" s="214">
        <f>SUM('Monthly Cashflow Projection'!E18:P18)</f>
        <v>0</v>
      </c>
      <c r="E21" s="215">
        <f>SUM('Monthly Cashflow Projection'!Q18:AB18)</f>
        <v>0</v>
      </c>
      <c r="F21" s="215">
        <f>SUM('Monthly Cashflow Projection'!AC18:AN18)</f>
        <v>0</v>
      </c>
      <c r="G21" s="292">
        <f t="shared" ref="G21:H21" si="6">F21*1.02</f>
        <v>0</v>
      </c>
      <c r="H21" s="292">
        <f t="shared" si="6"/>
        <v>0</v>
      </c>
      <c r="I21" s="216">
        <f t="shared" si="2"/>
        <v>0</v>
      </c>
    </row>
    <row r="22" spans="1:9" x14ac:dyDescent="0.4">
      <c r="A22" s="198">
        <f>'Monthly Cashflow Projection'!A20</f>
        <v>17</v>
      </c>
      <c r="B22" s="219"/>
      <c r="C22" s="290" t="str">
        <f>'Monthly Cashflow Projection'!D19</f>
        <v>Insurance</v>
      </c>
      <c r="D22" s="291">
        <f>SUM('Monthly Cashflow Projection'!E19:P19)</f>
        <v>0</v>
      </c>
      <c r="E22" s="215">
        <f>SUM('Monthly Cashflow Projection'!Q19:AB19)</f>
        <v>0</v>
      </c>
      <c r="F22" s="215">
        <f>SUM('Monthly Cashflow Projection'!AC19:AN19)</f>
        <v>0</v>
      </c>
      <c r="G22" s="292">
        <f t="shared" ref="G22:H22" si="7">F22*1.02</f>
        <v>0</v>
      </c>
      <c r="H22" s="292">
        <f t="shared" si="7"/>
        <v>0</v>
      </c>
      <c r="I22" s="217">
        <f t="shared" si="2"/>
        <v>0</v>
      </c>
    </row>
    <row r="23" spans="1:9" x14ac:dyDescent="0.4">
      <c r="A23" s="198">
        <f>'Monthly Cashflow Projection'!A21</f>
        <v>18</v>
      </c>
      <c r="B23" s="213"/>
      <c r="C23" s="294" t="str">
        <f>'Monthly Cashflow Projection'!D20</f>
        <v>Licenses &amp; Fees</v>
      </c>
      <c r="D23" s="214">
        <f>SUM('Monthly Cashflow Projection'!E20:P20)</f>
        <v>0</v>
      </c>
      <c r="E23" s="215">
        <f>SUM('Monthly Cashflow Projection'!Q20:AB20)</f>
        <v>0</v>
      </c>
      <c r="F23" s="215">
        <f>SUM('Monthly Cashflow Projection'!AC20:AN20)</f>
        <v>0</v>
      </c>
      <c r="G23" s="292">
        <f t="shared" ref="G23:H23" si="8">F23*1.02</f>
        <v>0</v>
      </c>
      <c r="H23" s="292">
        <f t="shared" si="8"/>
        <v>0</v>
      </c>
      <c r="I23" s="216">
        <f t="shared" si="2"/>
        <v>0</v>
      </c>
    </row>
    <row r="24" spans="1:9" x14ac:dyDescent="0.4">
      <c r="A24" s="198">
        <f>'Monthly Cashflow Projection'!A22</f>
        <v>19</v>
      </c>
      <c r="B24" s="219"/>
      <c r="C24" s="290" t="str">
        <f>'Monthly Cashflow Projection'!D21</f>
        <v>Meals &amp; Entertainment</v>
      </c>
      <c r="D24" s="291">
        <f>SUM('Monthly Cashflow Projection'!E21:P21)</f>
        <v>0</v>
      </c>
      <c r="E24" s="215">
        <f>SUM('Monthly Cashflow Projection'!Q21:AB21)</f>
        <v>0</v>
      </c>
      <c r="F24" s="215">
        <f>SUM('Monthly Cashflow Projection'!AC21:AN21)</f>
        <v>0</v>
      </c>
      <c r="G24" s="292">
        <f t="shared" ref="G24:H24" si="9">F24*1.02</f>
        <v>0</v>
      </c>
      <c r="H24" s="292">
        <f t="shared" si="9"/>
        <v>0</v>
      </c>
      <c r="I24" s="217">
        <f t="shared" si="2"/>
        <v>0</v>
      </c>
    </row>
    <row r="25" spans="1:9" x14ac:dyDescent="0.4">
      <c r="A25" s="198">
        <f>'Monthly Cashflow Projection'!A23</f>
        <v>20</v>
      </c>
      <c r="B25" s="213"/>
      <c r="C25" s="294" t="str">
        <f>'Monthly Cashflow Projection'!D22</f>
        <v>Miscellaneous</v>
      </c>
      <c r="D25" s="214">
        <f>SUM('Monthly Cashflow Projection'!E22:P22)</f>
        <v>0</v>
      </c>
      <c r="E25" s="215">
        <f>SUM('Monthly Cashflow Projection'!Q22:AB22)</f>
        <v>0</v>
      </c>
      <c r="F25" s="215">
        <f>SUM('Monthly Cashflow Projection'!AC22:AN22)</f>
        <v>0</v>
      </c>
      <c r="G25" s="292">
        <f t="shared" ref="G25:H25" si="10">F25*1.02</f>
        <v>0</v>
      </c>
      <c r="H25" s="292">
        <f t="shared" si="10"/>
        <v>0</v>
      </c>
      <c r="I25" s="216">
        <f t="shared" si="2"/>
        <v>0</v>
      </c>
    </row>
    <row r="26" spans="1:9" x14ac:dyDescent="0.4">
      <c r="A26" s="198">
        <f>'Monthly Cashflow Projection'!A24</f>
        <v>21</v>
      </c>
      <c r="B26" s="219"/>
      <c r="C26" s="290" t="str">
        <f>'Monthly Cashflow Projection'!D23</f>
        <v>Office Expenses and Supplies</v>
      </c>
      <c r="D26" s="291">
        <f>SUM('Monthly Cashflow Projection'!E23:P23)</f>
        <v>0</v>
      </c>
      <c r="E26" s="215">
        <f>SUM('Monthly Cashflow Projection'!Q23:AB23)</f>
        <v>0</v>
      </c>
      <c r="F26" s="215">
        <f>SUM('Monthly Cashflow Projection'!AC23:AN23)</f>
        <v>0</v>
      </c>
      <c r="G26" s="292">
        <f t="shared" ref="G26:H26" si="11">F26*1.02</f>
        <v>0</v>
      </c>
      <c r="H26" s="292">
        <f t="shared" si="11"/>
        <v>0</v>
      </c>
      <c r="I26" s="217">
        <f t="shared" si="2"/>
        <v>0</v>
      </c>
    </row>
    <row r="27" spans="1:9" x14ac:dyDescent="0.4">
      <c r="A27" s="198">
        <f>'Monthly Cashflow Projection'!A25</f>
        <v>22</v>
      </c>
      <c r="B27" s="213" t="str">
        <f>'Monthly Cashflow Projection'!C24</f>
        <v>Payroll Expenses</v>
      </c>
      <c r="C27" s="294"/>
      <c r="D27" s="214">
        <f>SUM('Monthly Cashflow Projection'!E24:P24)</f>
        <v>0</v>
      </c>
      <c r="E27" s="215">
        <f>SUM('Monthly Cashflow Projection'!Q24:AB24)</f>
        <v>0</v>
      </c>
      <c r="F27" s="215">
        <f>SUM('Monthly Cashflow Projection'!AC24:AN24)</f>
        <v>0</v>
      </c>
      <c r="G27" s="292">
        <f t="shared" ref="G27:H27" si="12">F27*1.02</f>
        <v>0</v>
      </c>
      <c r="H27" s="292">
        <f t="shared" si="12"/>
        <v>0</v>
      </c>
      <c r="I27" s="216">
        <f t="shared" si="2"/>
        <v>0</v>
      </c>
    </row>
    <row r="28" spans="1:9" x14ac:dyDescent="0.4">
      <c r="A28" s="198">
        <f>'Monthly Cashflow Projection'!A26</f>
        <v>0</v>
      </c>
      <c r="B28" s="219"/>
      <c r="C28" s="290" t="str">
        <f>'Monthly Cashflow Projection'!D25</f>
        <v>Salaries and Wages</v>
      </c>
      <c r="D28" s="291">
        <f>SUM('Monthly Cashflow Projection'!E25:P25)</f>
        <v>0</v>
      </c>
      <c r="E28" s="215">
        <f>SUM('Monthly Cashflow Projection'!Q25:AB25)</f>
        <v>0</v>
      </c>
      <c r="F28" s="215">
        <f>SUM('Monthly Cashflow Projection'!AC25:AN25)</f>
        <v>0</v>
      </c>
      <c r="G28" s="292">
        <f t="shared" ref="G28:H28" si="13">F28*1.02</f>
        <v>0</v>
      </c>
      <c r="H28" s="292">
        <f t="shared" si="13"/>
        <v>0</v>
      </c>
      <c r="I28" s="217">
        <f t="shared" si="2"/>
        <v>0</v>
      </c>
    </row>
    <row r="29" spans="1:9" x14ac:dyDescent="0.4">
      <c r="A29" s="198">
        <f>'Monthly Cashflow Projection'!A27</f>
        <v>23</v>
      </c>
      <c r="B29" s="213"/>
      <c r="C29" s="294" t="str">
        <f>'Monthly Cashflow Projection'!D27</f>
        <v>Payroll Taxes (8.25% of salaries)</v>
      </c>
      <c r="D29" s="214">
        <f>SUM('Monthly Cashflow Projection'!E27:P27)</f>
        <v>0</v>
      </c>
      <c r="E29" s="215">
        <f>SUM('Monthly Cashflow Projection'!Q26:AB26)</f>
        <v>0</v>
      </c>
      <c r="F29" s="215">
        <f>SUM('Monthly Cashflow Projection'!AC26:AN26)</f>
        <v>0</v>
      </c>
      <c r="G29" s="292">
        <f t="shared" ref="G29:H29" si="14">F29*1.02</f>
        <v>0</v>
      </c>
      <c r="H29" s="292">
        <f t="shared" si="14"/>
        <v>0</v>
      </c>
      <c r="I29" s="218">
        <f t="shared" si="2"/>
        <v>0</v>
      </c>
    </row>
    <row r="30" spans="1:9" x14ac:dyDescent="0.4">
      <c r="A30" s="198">
        <f>'Monthly Cashflow Projection'!A28</f>
        <v>24</v>
      </c>
      <c r="B30" s="219"/>
      <c r="C30" s="290" t="str">
        <f>'Monthly Cashflow Projection'!D28</f>
        <v>Benefits</v>
      </c>
      <c r="D30" s="291">
        <f>SUM('Monthly Cashflow Projection'!E28:P28)</f>
        <v>0</v>
      </c>
      <c r="E30" s="215">
        <f>SUM('Monthly Cashflow Projection'!Q27:AB27)</f>
        <v>0</v>
      </c>
      <c r="F30" s="215">
        <f>SUM('Monthly Cashflow Projection'!AC27:AN27)</f>
        <v>0</v>
      </c>
      <c r="G30" s="292">
        <f t="shared" ref="G30:H30" si="15">F30*1.02</f>
        <v>0</v>
      </c>
      <c r="H30" s="292">
        <f t="shared" si="15"/>
        <v>0</v>
      </c>
      <c r="I30" s="220">
        <f t="shared" si="2"/>
        <v>0</v>
      </c>
    </row>
    <row r="31" spans="1:9" x14ac:dyDescent="0.4">
      <c r="A31" s="198">
        <f>'Monthly Cashflow Projection'!A29</f>
        <v>25</v>
      </c>
      <c r="B31" s="213" t="str">
        <f>'Monthly Cashflow Projection'!C29</f>
        <v>Professional Fees - Real Estate Commission on Purchase of Property</v>
      </c>
      <c r="C31" s="294"/>
      <c r="D31" s="214">
        <f>SUM('Monthly Cashflow Projection'!E29:P29)</f>
        <v>0</v>
      </c>
      <c r="E31" s="215">
        <f>SUM('Monthly Cashflow Projection'!Q28:AB28)</f>
        <v>0</v>
      </c>
      <c r="F31" s="215">
        <f>SUM('Monthly Cashflow Projection'!AC28:AN28)</f>
        <v>0</v>
      </c>
      <c r="G31" s="292">
        <f t="shared" ref="G31:H31" si="16">F31*1.02</f>
        <v>0</v>
      </c>
      <c r="H31" s="292">
        <f t="shared" si="16"/>
        <v>0</v>
      </c>
      <c r="I31" s="218">
        <f t="shared" si="2"/>
        <v>0</v>
      </c>
    </row>
    <row r="32" spans="1:9" x14ac:dyDescent="0.4">
      <c r="A32" s="198">
        <f>'Monthly Cashflow Projection'!A30</f>
        <v>26</v>
      </c>
      <c r="B32" s="219" t="str">
        <f>'Monthly Cashflow Projection'!C30</f>
        <v>Property Taxes</v>
      </c>
      <c r="C32" s="290"/>
      <c r="D32" s="291">
        <f>SUM('Monthly Cashflow Projection'!E30:P30)</f>
        <v>0</v>
      </c>
      <c r="E32" s="215">
        <f>SUM('Monthly Cashflow Projection'!Q29:AB29)</f>
        <v>0</v>
      </c>
      <c r="F32" s="215">
        <f>SUM('Monthly Cashflow Projection'!AC29:AN29)</f>
        <v>0</v>
      </c>
      <c r="G32" s="292">
        <f t="shared" ref="G32:H32" si="17">F32*1.02</f>
        <v>0</v>
      </c>
      <c r="H32" s="292">
        <f t="shared" si="17"/>
        <v>0</v>
      </c>
      <c r="I32" s="217">
        <f t="shared" si="2"/>
        <v>0</v>
      </c>
    </row>
    <row r="33" spans="1:9" x14ac:dyDescent="0.4">
      <c r="A33" s="198">
        <f>'Monthly Cashflow Projection'!A31</f>
        <v>27</v>
      </c>
      <c r="B33" s="213" t="str">
        <f>'Monthly Cashflow Projection'!C31</f>
        <v>Rent</v>
      </c>
      <c r="C33" s="294"/>
      <c r="D33" s="214">
        <f>SUM('Monthly Cashflow Projection'!E31:P31)</f>
        <v>0</v>
      </c>
      <c r="E33" s="215">
        <f>SUM('Monthly Cashflow Projection'!Q30:AB30)</f>
        <v>0</v>
      </c>
      <c r="F33" s="215">
        <f>SUM('Monthly Cashflow Projection'!AC30:AN30)</f>
        <v>0</v>
      </c>
      <c r="G33" s="292">
        <f t="shared" ref="G33:H33" si="18">F33*1.02</f>
        <v>0</v>
      </c>
      <c r="H33" s="292">
        <f t="shared" si="18"/>
        <v>0</v>
      </c>
      <c r="I33" s="295"/>
    </row>
    <row r="34" spans="1:9" x14ac:dyDescent="0.4">
      <c r="A34" s="198">
        <f>'Monthly Cashflow Projection'!A32</f>
        <v>28</v>
      </c>
      <c r="B34" s="219" t="str">
        <f>'Monthly Cashflow Projection'!C32</f>
        <v>Telephone &amp; Internet</v>
      </c>
      <c r="C34" s="290"/>
      <c r="D34" s="291">
        <f>SUM('Monthly Cashflow Projection'!E32:P32)</f>
        <v>0</v>
      </c>
      <c r="E34" s="215">
        <f>SUM('Monthly Cashflow Projection'!Q31:AB31)</f>
        <v>0</v>
      </c>
      <c r="F34" s="215">
        <f>SUM('Monthly Cashflow Projection'!AC31:AN31)</f>
        <v>0</v>
      </c>
      <c r="G34" s="292">
        <f t="shared" ref="G34:H34" si="19">F34*1.02</f>
        <v>0</v>
      </c>
      <c r="H34" s="292">
        <f t="shared" si="19"/>
        <v>0</v>
      </c>
      <c r="I34" s="217"/>
    </row>
    <row r="35" spans="1:9" x14ac:dyDescent="0.4">
      <c r="A35" s="198">
        <f>'Monthly Cashflow Projection'!A33</f>
        <v>29</v>
      </c>
      <c r="B35" s="213" t="str">
        <f>'Monthly Cashflow Projection'!C33</f>
        <v>Accounting and Legal</v>
      </c>
      <c r="C35" s="294"/>
      <c r="D35" s="214">
        <f>SUM('Monthly Cashflow Projection'!E33:P33)</f>
        <v>0</v>
      </c>
      <c r="E35" s="215">
        <f>SUM('Monthly Cashflow Projection'!Q32:AB32)</f>
        <v>0</v>
      </c>
      <c r="F35" s="215">
        <f>SUM('Monthly Cashflow Projection'!AC32:AN32)</f>
        <v>0</v>
      </c>
      <c r="G35" s="292">
        <f t="shared" ref="G35:H35" si="20">F35*1.02</f>
        <v>0</v>
      </c>
      <c r="H35" s="292">
        <f t="shared" si="20"/>
        <v>0</v>
      </c>
      <c r="I35" s="216">
        <f>SUM(E35:H35)</f>
        <v>0</v>
      </c>
    </row>
    <row r="36" spans="1:9" x14ac:dyDescent="0.4">
      <c r="A36" s="198">
        <f>'Monthly Cashflow Projection'!A34</f>
        <v>30</v>
      </c>
      <c r="B36" s="219" t="str">
        <f>'Monthly Cashflow Projection'!C34</f>
        <v>Utilities</v>
      </c>
      <c r="C36" s="290"/>
      <c r="D36" s="291">
        <f>SUM('Monthly Cashflow Projection'!E34:P34)</f>
        <v>0</v>
      </c>
      <c r="E36" s="215">
        <f>SUM('Monthly Cashflow Projection'!Q33:AB33)</f>
        <v>0</v>
      </c>
      <c r="F36" s="215">
        <f>SUM('Monthly Cashflow Projection'!AC33:AN33)</f>
        <v>0</v>
      </c>
      <c r="G36" s="292">
        <f t="shared" ref="G36:H36" si="21">F36*1.02</f>
        <v>0</v>
      </c>
      <c r="H36" s="292">
        <f t="shared" si="21"/>
        <v>0</v>
      </c>
      <c r="I36" s="217">
        <f>SUM(E36:H36)</f>
        <v>0</v>
      </c>
    </row>
    <row r="37" spans="1:9" x14ac:dyDescent="0.4">
      <c r="A37" s="198">
        <f>'Monthly Cashflow Projection'!A35</f>
        <v>31</v>
      </c>
      <c r="B37" s="213" t="str">
        <f>'Monthly Cashflow Projection'!C35</f>
        <v>Pest Control</v>
      </c>
      <c r="C37" s="294"/>
      <c r="D37" s="214">
        <f>SUM('Monthly Cashflow Projection'!E35:P35)</f>
        <v>0</v>
      </c>
      <c r="E37" s="215">
        <f>SUM('Monthly Cashflow Projection'!Q34:AB34)</f>
        <v>0</v>
      </c>
      <c r="F37" s="215">
        <f>SUM('Monthly Cashflow Projection'!AC34:AN34)</f>
        <v>0</v>
      </c>
      <c r="G37" s="292">
        <f t="shared" ref="G37:H37" si="22">F37*1.02</f>
        <v>0</v>
      </c>
      <c r="H37" s="292">
        <f t="shared" si="22"/>
        <v>0</v>
      </c>
      <c r="I37" s="216">
        <f>SUM(E37:H37)</f>
        <v>0</v>
      </c>
    </row>
    <row r="38" spans="1:9" x14ac:dyDescent="0.4">
      <c r="A38" s="198">
        <f>'Monthly Cashflow Projection'!A36</f>
        <v>32</v>
      </c>
      <c r="B38" s="219" t="str">
        <f>'Monthly Cashflow Projection'!C36</f>
        <v>Capital Improvements</v>
      </c>
      <c r="C38" s="290"/>
      <c r="D38" s="291">
        <f>SUM('Monthly Cashflow Projection'!E36:P36)</f>
        <v>0</v>
      </c>
      <c r="E38" s="215">
        <f>SUM('Monthly Cashflow Projection'!Q35:AB35)</f>
        <v>0</v>
      </c>
      <c r="F38" s="215">
        <f>SUM('Monthly Cashflow Projection'!AC35:AN35)</f>
        <v>0</v>
      </c>
      <c r="G38" s="292">
        <f t="shared" ref="G38:H38" si="23">F38*1.02</f>
        <v>0</v>
      </c>
      <c r="H38" s="292">
        <f t="shared" si="23"/>
        <v>0</v>
      </c>
      <c r="I38" s="217">
        <f>SUM(E38:H38)</f>
        <v>0</v>
      </c>
    </row>
    <row r="39" spans="1:9" x14ac:dyDescent="0.4">
      <c r="A39" s="198">
        <f>'Monthly Cashflow Projection'!A37</f>
        <v>33</v>
      </c>
      <c r="B39" s="213" t="str">
        <f>'Monthly Cashflow Projection'!C37</f>
        <v>Leased Equipment</v>
      </c>
      <c r="C39" s="294"/>
      <c r="D39" s="214">
        <f>SUM('Monthly Cashflow Projection'!E37:P37)</f>
        <v>0</v>
      </c>
      <c r="E39" s="215">
        <f>SUM('Monthly Cashflow Projection'!Q36:AB36)</f>
        <v>0</v>
      </c>
      <c r="F39" s="215">
        <f>SUM('Monthly Cashflow Projection'!AC36:AN36)</f>
        <v>0</v>
      </c>
      <c r="G39" s="292">
        <f t="shared" ref="G39:H39" si="24">F39*1.02</f>
        <v>0</v>
      </c>
      <c r="H39" s="292">
        <f t="shared" si="24"/>
        <v>0</v>
      </c>
      <c r="I39" s="216">
        <f t="shared" ref="I39:I45" si="25">SUM(E39:H39)</f>
        <v>0</v>
      </c>
    </row>
    <row r="40" spans="1:9" x14ac:dyDescent="0.4">
      <c r="A40" s="198">
        <f>'Monthly Cashflow Projection'!A38</f>
        <v>34</v>
      </c>
      <c r="B40" s="219" t="str">
        <f>'Monthly Cashflow Projection'!C38</f>
        <v>Estimated Income Tax Payments</v>
      </c>
      <c r="C40" s="290"/>
      <c r="D40" s="291">
        <f>SUM('Monthly Cashflow Projection'!E38:P38)</f>
        <v>0</v>
      </c>
      <c r="E40" s="215">
        <f>SUM('Monthly Cashflow Projection'!Q37:AB37)</f>
        <v>0</v>
      </c>
      <c r="F40" s="215">
        <f>SUM('Monthly Cashflow Projection'!AC37:AN37)</f>
        <v>0</v>
      </c>
      <c r="G40" s="292">
        <f t="shared" ref="G40:H40" si="26">F40*1.02</f>
        <v>0</v>
      </c>
      <c r="H40" s="292">
        <f t="shared" si="26"/>
        <v>0</v>
      </c>
      <c r="I40" s="217">
        <f t="shared" si="25"/>
        <v>0</v>
      </c>
    </row>
    <row r="41" spans="1:9" x14ac:dyDescent="0.4">
      <c r="A41" s="198">
        <f>'Monthly Cashflow Projection'!A39</f>
        <v>35</v>
      </c>
      <c r="B41" s="213" t="str">
        <f>'Monthly Cashflow Projection'!C39</f>
        <v>Loan Payment - E-Communituy</v>
      </c>
      <c r="C41" s="294"/>
      <c r="D41" s="214">
        <f>SUM('Monthly Cashflow Projection'!E39:P39)</f>
        <v>0</v>
      </c>
      <c r="E41" s="215">
        <f>SUM('Monthly Cashflow Projection'!Q38:AB38)</f>
        <v>0</v>
      </c>
      <c r="F41" s="215">
        <f>SUM('Monthly Cashflow Projection'!AC38:AN38)</f>
        <v>0</v>
      </c>
      <c r="G41" s="292">
        <f t="shared" ref="G41:H41" si="27">F41*1.02</f>
        <v>0</v>
      </c>
      <c r="H41" s="292">
        <f t="shared" si="27"/>
        <v>0</v>
      </c>
      <c r="I41" s="218">
        <f t="shared" si="25"/>
        <v>0</v>
      </c>
    </row>
    <row r="42" spans="1:9" x14ac:dyDescent="0.4">
      <c r="A42" s="198">
        <f>'Monthly Cashflow Projection'!A40</f>
        <v>36</v>
      </c>
      <c r="B42" s="219" t="str">
        <f>'Monthly Cashflow Projection'!C40</f>
        <v>Loan Payment - Bank</v>
      </c>
      <c r="C42" s="290"/>
      <c r="D42" s="291">
        <f>SUM('Monthly Cashflow Projection'!E40:P40)</f>
        <v>0</v>
      </c>
      <c r="E42" s="215">
        <f>SUM('Monthly Cashflow Projection'!Q39:AB39)</f>
        <v>0</v>
      </c>
      <c r="F42" s="215">
        <f>SUM('Monthly Cashflow Projection'!AC39:AN39)</f>
        <v>0</v>
      </c>
      <c r="G42" s="292">
        <f t="shared" ref="G42:H42" si="28">F42*1.02</f>
        <v>0</v>
      </c>
      <c r="H42" s="292">
        <f t="shared" si="28"/>
        <v>0</v>
      </c>
      <c r="I42" s="220">
        <f t="shared" si="25"/>
        <v>0</v>
      </c>
    </row>
    <row r="43" spans="1:9" x14ac:dyDescent="0.4">
      <c r="A43" s="198">
        <f>'Monthly Cashflow Projection'!A41</f>
        <v>37</v>
      </c>
      <c r="B43" s="213" t="str">
        <f>'Monthly Cashflow Projection'!C41</f>
        <v>Owner's Draw</v>
      </c>
      <c r="C43" s="294"/>
      <c r="D43" s="214">
        <f>SUM('Monthly Cashflow Projection'!E41:P41)</f>
        <v>0</v>
      </c>
      <c r="E43" s="215">
        <f>SUM('Monthly Cashflow Projection'!Q40:AB40)</f>
        <v>0</v>
      </c>
      <c r="F43" s="215">
        <f>SUM('Monthly Cashflow Projection'!AC40:AN40)</f>
        <v>0</v>
      </c>
      <c r="G43" s="292">
        <f t="shared" ref="G43:H43" si="29">F43*1.02</f>
        <v>0</v>
      </c>
      <c r="H43" s="292">
        <f t="shared" si="29"/>
        <v>0</v>
      </c>
      <c r="I43" s="214"/>
    </row>
    <row r="44" spans="1:9" ht="13.5" thickBot="1" x14ac:dyDescent="0.45">
      <c r="A44" s="198"/>
      <c r="B44" s="221" t="s">
        <v>367</v>
      </c>
      <c r="C44" s="221"/>
      <c r="D44" s="222">
        <f>D14-SUM(D17:D43)</f>
        <v>0</v>
      </c>
      <c r="E44" s="222">
        <f>E14-SUM(E17:E43)</f>
        <v>0</v>
      </c>
      <c r="F44" s="222">
        <f t="shared" ref="F44:H44" si="30">F14-SUM(F17:F43)</f>
        <v>0</v>
      </c>
      <c r="G44" s="222">
        <f t="shared" si="30"/>
        <v>0</v>
      </c>
      <c r="H44" s="222">
        <f t="shared" si="30"/>
        <v>0</v>
      </c>
      <c r="I44" s="222">
        <f>I14-(SUM(D44:H44))</f>
        <v>0</v>
      </c>
    </row>
    <row r="45" spans="1:9" ht="13.5" thickTop="1" x14ac:dyDescent="0.4">
      <c r="A45" s="198"/>
      <c r="B45" s="212" t="s">
        <v>340</v>
      </c>
      <c r="C45" s="212"/>
      <c r="D45" s="223"/>
      <c r="E45" s="224"/>
      <c r="F45" s="224"/>
      <c r="G45" s="224"/>
      <c r="H45" s="224"/>
      <c r="I45" s="225">
        <f t="shared" si="25"/>
        <v>0</v>
      </c>
    </row>
    <row r="46" spans="1:9" x14ac:dyDescent="0.4">
      <c r="A46" s="198"/>
      <c r="B46" s="212"/>
      <c r="C46" s="212"/>
      <c r="D46" s="223"/>
      <c r="E46" s="226"/>
      <c r="F46" s="226"/>
      <c r="G46" s="226" t="s">
        <v>434</v>
      </c>
      <c r="H46" s="226" t="s">
        <v>434</v>
      </c>
      <c r="I46" s="227"/>
    </row>
    <row r="47" spans="1:9" s="233" customFormat="1" x14ac:dyDescent="0.4">
      <c r="A47" s="228"/>
      <c r="B47" s="229"/>
      <c r="C47" s="229"/>
      <c r="D47" s="230"/>
      <c r="E47" s="231"/>
      <c r="F47" s="231"/>
      <c r="G47" s="231"/>
      <c r="H47" s="231"/>
      <c r="I47" s="232"/>
    </row>
    <row r="48" spans="1:9" s="233" customFormat="1" x14ac:dyDescent="0.4">
      <c r="A48" s="228"/>
      <c r="B48" s="229"/>
      <c r="C48" s="229"/>
      <c r="D48" s="230"/>
      <c r="E48" s="234"/>
      <c r="F48" s="234"/>
      <c r="G48" s="234"/>
      <c r="H48" s="234"/>
      <c r="I48" s="235"/>
    </row>
    <row r="49" spans="1:9" s="233" customFormat="1" x14ac:dyDescent="0.4">
      <c r="A49" s="228"/>
      <c r="B49" s="229"/>
      <c r="C49" s="229"/>
      <c r="D49" s="230"/>
      <c r="E49" s="231"/>
      <c r="F49" s="231"/>
      <c r="G49" s="231"/>
      <c r="H49" s="231"/>
      <c r="I49" s="232"/>
    </row>
    <row r="50" spans="1:9" s="233" customFormat="1" x14ac:dyDescent="0.4">
      <c r="A50" s="228"/>
      <c r="B50" s="229"/>
      <c r="C50" s="229"/>
      <c r="D50" s="230"/>
      <c r="E50" s="234"/>
      <c r="F50" s="234"/>
      <c r="G50" s="234"/>
      <c r="H50" s="234"/>
      <c r="I50" s="235"/>
    </row>
    <row r="51" spans="1:9" s="233" customFormat="1" x14ac:dyDescent="0.4">
      <c r="A51" s="228"/>
      <c r="B51" s="229"/>
      <c r="C51" s="229"/>
      <c r="D51" s="230"/>
      <c r="E51" s="231"/>
      <c r="F51" s="231"/>
      <c r="G51" s="231"/>
      <c r="H51" s="231"/>
      <c r="I51" s="232"/>
    </row>
    <row r="52" spans="1:9" s="233" customFormat="1" x14ac:dyDescent="0.4">
      <c r="A52" s="228"/>
      <c r="B52" s="229"/>
      <c r="C52" s="229"/>
      <c r="D52" s="230"/>
      <c r="E52" s="234"/>
      <c r="F52" s="234"/>
      <c r="G52" s="234"/>
      <c r="H52" s="234"/>
      <c r="I52" s="235"/>
    </row>
    <row r="53" spans="1:9" s="233" customFormat="1" x14ac:dyDescent="0.4">
      <c r="A53" s="228"/>
      <c r="B53" s="229"/>
      <c r="C53" s="229"/>
      <c r="D53" s="230"/>
      <c r="E53" s="231"/>
      <c r="F53" s="231"/>
      <c r="G53" s="231"/>
      <c r="H53" s="231"/>
      <c r="I53" s="232"/>
    </row>
    <row r="54" spans="1:9" s="233" customFormat="1" x14ac:dyDescent="0.4">
      <c r="A54" s="228"/>
      <c r="B54" s="229"/>
      <c r="C54" s="229"/>
      <c r="D54" s="230"/>
      <c r="E54" s="234"/>
      <c r="F54" s="234"/>
      <c r="G54" s="234"/>
      <c r="H54" s="234"/>
      <c r="I54" s="235"/>
    </row>
    <row r="55" spans="1:9" s="233" customFormat="1" x14ac:dyDescent="0.4">
      <c r="A55" s="228"/>
      <c r="B55" s="229"/>
      <c r="C55" s="229"/>
      <c r="D55" s="230"/>
      <c r="E55" s="231"/>
      <c r="F55" s="231"/>
      <c r="G55" s="231"/>
      <c r="H55" s="231"/>
      <c r="I55" s="232"/>
    </row>
    <row r="56" spans="1:9" s="233" customFormat="1" x14ac:dyDescent="0.4">
      <c r="A56" s="228"/>
      <c r="B56" s="229"/>
      <c r="C56" s="229"/>
      <c r="D56" s="230"/>
      <c r="E56" s="234"/>
      <c r="F56" s="234"/>
      <c r="G56" s="234"/>
      <c r="H56" s="234"/>
      <c r="I56" s="235"/>
    </row>
    <row r="57" spans="1:9" s="233" customFormat="1" x14ac:dyDescent="0.4">
      <c r="A57" s="228"/>
      <c r="B57" s="229"/>
      <c r="C57" s="229"/>
      <c r="D57" s="230"/>
      <c r="E57" s="231"/>
      <c r="F57" s="231"/>
      <c r="G57" s="231"/>
      <c r="H57" s="231"/>
      <c r="I57" s="232"/>
    </row>
    <row r="58" spans="1:9" s="233" customFormat="1" x14ac:dyDescent="0.4">
      <c r="A58" s="228"/>
      <c r="B58" s="229"/>
      <c r="C58" s="229"/>
      <c r="D58" s="230"/>
      <c r="E58" s="234"/>
      <c r="F58" s="234"/>
      <c r="G58" s="234"/>
      <c r="H58" s="234"/>
      <c r="I58" s="235"/>
    </row>
    <row r="59" spans="1:9" s="233" customFormat="1" x14ac:dyDescent="0.4">
      <c r="A59" s="228"/>
      <c r="B59" s="229"/>
      <c r="C59" s="229"/>
      <c r="D59" s="230"/>
      <c r="E59" s="231"/>
      <c r="F59" s="231"/>
      <c r="G59" s="231"/>
      <c r="H59" s="231"/>
      <c r="I59" s="232"/>
    </row>
    <row r="60" spans="1:9" s="233" customFormat="1" x14ac:dyDescent="0.4">
      <c r="A60" s="228"/>
      <c r="B60" s="229"/>
      <c r="C60" s="229"/>
      <c r="D60" s="230"/>
      <c r="E60" s="234"/>
      <c r="F60" s="234"/>
      <c r="G60" s="234"/>
      <c r="H60" s="234"/>
      <c r="I60" s="235"/>
    </row>
    <row r="61" spans="1:9" s="233" customFormat="1" x14ac:dyDescent="0.4">
      <c r="A61" s="228"/>
      <c r="B61" s="229"/>
      <c r="C61" s="229"/>
      <c r="D61" s="230"/>
      <c r="E61" s="231"/>
      <c r="F61" s="231"/>
      <c r="G61" s="231"/>
      <c r="H61" s="231"/>
      <c r="I61" s="232"/>
    </row>
    <row r="62" spans="1:9" s="233" customFormat="1" x14ac:dyDescent="0.4">
      <c r="A62" s="228"/>
      <c r="B62" s="229"/>
      <c r="C62" s="229"/>
      <c r="D62" s="230"/>
      <c r="E62" s="234"/>
      <c r="F62" s="234"/>
      <c r="G62" s="234"/>
      <c r="H62" s="234"/>
      <c r="I62" s="235"/>
    </row>
    <row r="63" spans="1:9" s="233" customFormat="1" x14ac:dyDescent="0.4">
      <c r="A63" s="228"/>
      <c r="B63" s="229"/>
      <c r="C63" s="229"/>
      <c r="D63" s="230"/>
      <c r="E63" s="231"/>
      <c r="F63" s="231"/>
      <c r="G63" s="231"/>
      <c r="H63" s="231"/>
      <c r="I63" s="232"/>
    </row>
    <row r="64" spans="1:9" s="233" customFormat="1" x14ac:dyDescent="0.4">
      <c r="A64" s="228"/>
      <c r="B64" s="229"/>
      <c r="C64" s="229"/>
      <c r="D64" s="230"/>
      <c r="E64" s="234"/>
      <c r="F64" s="234"/>
      <c r="G64" s="234"/>
      <c r="H64" s="234"/>
      <c r="I64" s="235"/>
    </row>
    <row r="65" spans="1:9" s="233" customFormat="1" x14ac:dyDescent="0.4">
      <c r="A65" s="228"/>
      <c r="B65" s="229"/>
      <c r="C65" s="229"/>
      <c r="D65" s="230"/>
      <c r="E65" s="231"/>
      <c r="F65" s="231"/>
      <c r="G65" s="231"/>
      <c r="H65" s="231"/>
      <c r="I65" s="232"/>
    </row>
    <row r="66" spans="1:9" s="233" customFormat="1" x14ac:dyDescent="0.4">
      <c r="A66" s="228"/>
      <c r="B66" s="229"/>
      <c r="C66" s="229"/>
      <c r="D66" s="230"/>
      <c r="E66" s="234"/>
      <c r="F66" s="234"/>
      <c r="G66" s="234"/>
      <c r="H66" s="234"/>
      <c r="I66" s="235"/>
    </row>
    <row r="67" spans="1:9" s="233" customFormat="1" x14ac:dyDescent="0.4">
      <c r="A67" s="228"/>
      <c r="B67" s="229"/>
      <c r="C67" s="229"/>
      <c r="D67" s="230"/>
      <c r="E67" s="231"/>
      <c r="F67" s="231"/>
      <c r="G67" s="231"/>
      <c r="H67" s="231"/>
      <c r="I67" s="232"/>
    </row>
    <row r="68" spans="1:9" s="233" customFormat="1" x14ac:dyDescent="0.4">
      <c r="A68" s="228"/>
      <c r="B68" s="228"/>
      <c r="C68" s="228"/>
      <c r="D68" s="228"/>
      <c r="E68" s="228"/>
      <c r="F68" s="228"/>
      <c r="G68" s="228"/>
      <c r="H68" s="228"/>
      <c r="I68" s="236"/>
    </row>
    <row r="69" spans="1:9" x14ac:dyDescent="0.4">
      <c r="A69" s="198"/>
      <c r="B69" s="198"/>
      <c r="C69" s="198"/>
      <c r="D69" s="198"/>
      <c r="E69" s="198"/>
      <c r="F69" s="198"/>
      <c r="G69" s="198"/>
      <c r="H69" s="198"/>
      <c r="I69" s="201"/>
    </row>
    <row r="70" spans="1:9" x14ac:dyDescent="0.4">
      <c r="A70" s="198"/>
      <c r="B70" s="198"/>
      <c r="C70" s="198"/>
      <c r="D70" s="198"/>
      <c r="E70" s="198"/>
      <c r="F70" s="198"/>
      <c r="G70" s="198"/>
      <c r="H70" s="198"/>
      <c r="I70" s="201"/>
    </row>
    <row r="71" spans="1:9" x14ac:dyDescent="0.4">
      <c r="A71" s="198"/>
      <c r="B71" s="198"/>
      <c r="C71" s="198"/>
      <c r="D71" s="198"/>
      <c r="E71" s="198"/>
      <c r="F71" s="198"/>
      <c r="G71" s="198"/>
      <c r="H71" s="198"/>
      <c r="I71" s="201"/>
    </row>
    <row r="72" spans="1:9" x14ac:dyDescent="0.4">
      <c r="A72" s="198"/>
      <c r="B72" s="198"/>
      <c r="C72" s="198"/>
      <c r="D72" s="198"/>
      <c r="E72" s="198"/>
      <c r="F72" s="198"/>
      <c r="G72" s="198"/>
      <c r="H72" s="198"/>
      <c r="I72" s="201"/>
    </row>
    <row r="73" spans="1:9" x14ac:dyDescent="0.4">
      <c r="A73" s="198"/>
      <c r="B73" s="198"/>
      <c r="C73" s="198"/>
      <c r="D73" s="198"/>
      <c r="E73" s="198"/>
      <c r="F73" s="198"/>
      <c r="G73" s="198"/>
      <c r="H73" s="198"/>
      <c r="I73" s="201"/>
    </row>
    <row r="74" spans="1:9" x14ac:dyDescent="0.4">
      <c r="A74" s="198"/>
      <c r="B74" s="198"/>
      <c r="C74" s="198"/>
      <c r="D74" s="198"/>
      <c r="E74" s="198"/>
      <c r="F74" s="198"/>
      <c r="G74" s="198"/>
      <c r="H74" s="198"/>
      <c r="I74" s="201"/>
    </row>
    <row r="75" spans="1:9" x14ac:dyDescent="0.4">
      <c r="A75" s="198"/>
      <c r="B75" s="198"/>
      <c r="C75" s="198"/>
      <c r="D75" s="198"/>
      <c r="E75" s="198"/>
      <c r="F75" s="198"/>
      <c r="G75" s="198"/>
      <c r="H75" s="198"/>
      <c r="I75" s="201"/>
    </row>
    <row r="76" spans="1:9" x14ac:dyDescent="0.4">
      <c r="A76" s="198"/>
      <c r="B76" s="198"/>
      <c r="C76" s="198"/>
      <c r="D76" s="198"/>
      <c r="E76" s="198"/>
      <c r="F76" s="198"/>
      <c r="G76" s="198"/>
      <c r="H76" s="198"/>
      <c r="I76" s="201"/>
    </row>
    <row r="77" spans="1:9" x14ac:dyDescent="0.4">
      <c r="A77" s="198"/>
      <c r="B77" s="198"/>
      <c r="C77" s="198"/>
      <c r="D77" s="198"/>
      <c r="E77" s="198"/>
      <c r="F77" s="198"/>
      <c r="G77" s="198"/>
      <c r="H77" s="198"/>
      <c r="I77" s="201"/>
    </row>
    <row r="78" spans="1:9" x14ac:dyDescent="0.4">
      <c r="A78" s="198"/>
      <c r="B78" s="198"/>
      <c r="C78" s="198"/>
      <c r="D78" s="198"/>
      <c r="E78" s="198"/>
      <c r="F78" s="198"/>
      <c r="G78" s="198"/>
      <c r="H78" s="198"/>
      <c r="I78" s="201"/>
    </row>
    <row r="79" spans="1:9" x14ac:dyDescent="0.4">
      <c r="A79" s="198"/>
      <c r="B79" s="198"/>
      <c r="C79" s="198"/>
      <c r="D79" s="198"/>
      <c r="E79" s="198"/>
      <c r="F79" s="198"/>
      <c r="G79" s="198"/>
      <c r="H79" s="198"/>
      <c r="I79" s="201"/>
    </row>
    <row r="80" spans="1:9" x14ac:dyDescent="0.4">
      <c r="A80" s="198"/>
      <c r="B80" s="198"/>
      <c r="C80" s="198"/>
      <c r="D80" s="198"/>
      <c r="E80" s="198"/>
      <c r="F80" s="198"/>
      <c r="G80" s="198"/>
      <c r="H80" s="198"/>
      <c r="I80" s="201"/>
    </row>
    <row r="81" spans="1:9" x14ac:dyDescent="0.4">
      <c r="A81" s="198"/>
      <c r="B81" s="198"/>
      <c r="C81" s="198"/>
      <c r="D81" s="198"/>
      <c r="E81" s="198"/>
      <c r="F81" s="198"/>
      <c r="G81" s="198"/>
      <c r="H81" s="198"/>
      <c r="I81" s="201"/>
    </row>
    <row r="82" spans="1:9" x14ac:dyDescent="0.4">
      <c r="A82" s="198"/>
      <c r="B82" s="198"/>
      <c r="C82" s="198"/>
      <c r="D82" s="198"/>
      <c r="E82" s="198"/>
      <c r="F82" s="198"/>
      <c r="G82" s="198"/>
      <c r="H82" s="198"/>
      <c r="I82" s="201"/>
    </row>
    <row r="83" spans="1:9" x14ac:dyDescent="0.4">
      <c r="A83" s="198"/>
      <c r="B83" s="198"/>
      <c r="C83" s="198"/>
      <c r="D83" s="198"/>
      <c r="E83" s="198"/>
      <c r="F83" s="198"/>
      <c r="G83" s="198"/>
      <c r="H83" s="198"/>
      <c r="I83" s="201"/>
    </row>
    <row r="84" spans="1:9" x14ac:dyDescent="0.4">
      <c r="A84" s="198"/>
      <c r="B84" s="198"/>
      <c r="C84" s="198"/>
      <c r="D84" s="198"/>
      <c r="E84" s="198"/>
      <c r="F84" s="198"/>
      <c r="G84" s="198"/>
      <c r="H84" s="198"/>
      <c r="I84" s="201"/>
    </row>
    <row r="85" spans="1:9" x14ac:dyDescent="0.4">
      <c r="A85" s="198"/>
      <c r="B85" s="198"/>
      <c r="C85" s="198"/>
      <c r="D85" s="198"/>
      <c r="E85" s="198"/>
      <c r="F85" s="198"/>
      <c r="G85" s="198"/>
      <c r="H85" s="198"/>
      <c r="I85" s="201"/>
    </row>
    <row r="86" spans="1:9" x14ac:dyDescent="0.4">
      <c r="A86" s="198"/>
      <c r="B86" s="198"/>
      <c r="C86" s="198"/>
      <c r="D86" s="198"/>
      <c r="E86" s="198"/>
      <c r="F86" s="198"/>
      <c r="G86" s="198"/>
      <c r="H86" s="198"/>
      <c r="I86" s="201"/>
    </row>
    <row r="87" spans="1:9" x14ac:dyDescent="0.4">
      <c r="A87" s="198"/>
      <c r="B87" s="198"/>
      <c r="C87" s="198"/>
      <c r="D87" s="198"/>
      <c r="E87" s="198"/>
      <c r="F87" s="198"/>
      <c r="G87" s="198"/>
      <c r="H87" s="198"/>
      <c r="I87" s="201"/>
    </row>
    <row r="88" spans="1:9" x14ac:dyDescent="0.4">
      <c r="A88" s="198"/>
      <c r="B88" s="198"/>
      <c r="C88" s="198"/>
      <c r="D88" s="198"/>
      <c r="E88" s="198"/>
      <c r="F88" s="198"/>
      <c r="G88" s="198"/>
      <c r="H88" s="198"/>
      <c r="I88" s="201"/>
    </row>
    <row r="89" spans="1:9" x14ac:dyDescent="0.4">
      <c r="A89" s="198"/>
      <c r="B89" s="198"/>
      <c r="C89" s="198"/>
      <c r="D89" s="198"/>
      <c r="E89" s="198"/>
      <c r="F89" s="198"/>
      <c r="G89" s="198"/>
      <c r="H89" s="198"/>
      <c r="I89" s="201"/>
    </row>
    <row r="90" spans="1:9" x14ac:dyDescent="0.4">
      <c r="A90" s="198"/>
      <c r="B90" s="198"/>
      <c r="C90" s="198"/>
      <c r="D90" s="198"/>
      <c r="E90" s="198"/>
      <c r="F90" s="198"/>
      <c r="G90" s="198"/>
      <c r="H90" s="198"/>
      <c r="I90" s="201"/>
    </row>
    <row r="91" spans="1:9" x14ac:dyDescent="0.4">
      <c r="A91" s="198"/>
      <c r="B91" s="198"/>
      <c r="C91" s="198"/>
      <c r="D91" s="198"/>
      <c r="E91" s="198"/>
      <c r="F91" s="198"/>
      <c r="G91" s="198"/>
      <c r="H91" s="198"/>
      <c r="I91" s="201"/>
    </row>
    <row r="92" spans="1:9" x14ac:dyDescent="0.4">
      <c r="A92" s="198"/>
      <c r="B92" s="198"/>
      <c r="C92" s="198"/>
      <c r="D92" s="198"/>
      <c r="E92" s="198"/>
      <c r="F92" s="198"/>
      <c r="G92" s="198"/>
      <c r="H92" s="198"/>
      <c r="I92" s="201"/>
    </row>
    <row r="93" spans="1:9" x14ac:dyDescent="0.4">
      <c r="A93" s="198"/>
      <c r="B93" s="198"/>
      <c r="C93" s="198"/>
      <c r="D93" s="198"/>
      <c r="E93" s="198"/>
      <c r="F93" s="198"/>
      <c r="G93" s="198"/>
      <c r="H93" s="198"/>
      <c r="I93" s="201"/>
    </row>
    <row r="94" spans="1:9" x14ac:dyDescent="0.4">
      <c r="A94" s="198"/>
      <c r="B94" s="198"/>
      <c r="C94" s="198"/>
      <c r="D94" s="198"/>
      <c r="E94" s="198"/>
      <c r="F94" s="198"/>
      <c r="G94" s="198"/>
      <c r="H94" s="198"/>
      <c r="I94" s="201"/>
    </row>
    <row r="95" spans="1:9" x14ac:dyDescent="0.4">
      <c r="A95" s="198"/>
      <c r="B95" s="198"/>
      <c r="C95" s="198"/>
      <c r="D95" s="198"/>
      <c r="E95" s="198"/>
      <c r="F95" s="198"/>
      <c r="G95" s="198"/>
      <c r="H95" s="198"/>
      <c r="I95" s="201"/>
    </row>
    <row r="96" spans="1:9" x14ac:dyDescent="0.4">
      <c r="A96" s="198"/>
      <c r="B96" s="198"/>
      <c r="C96" s="198"/>
      <c r="D96" s="198"/>
      <c r="E96" s="198"/>
      <c r="F96" s="198"/>
      <c r="G96" s="198"/>
      <c r="H96" s="198"/>
      <c r="I96" s="201"/>
    </row>
    <row r="97" spans="1:9" x14ac:dyDescent="0.4">
      <c r="A97" s="198"/>
      <c r="B97" s="198"/>
      <c r="C97" s="198"/>
      <c r="D97" s="198"/>
      <c r="E97" s="198"/>
      <c r="F97" s="198"/>
      <c r="G97" s="198"/>
      <c r="H97" s="198"/>
      <c r="I97" s="201"/>
    </row>
    <row r="98" spans="1:9" x14ac:dyDescent="0.4">
      <c r="A98" s="198"/>
      <c r="B98" s="198"/>
      <c r="C98" s="198"/>
      <c r="D98" s="198"/>
      <c r="E98" s="198"/>
      <c r="F98" s="198"/>
      <c r="G98" s="198"/>
      <c r="H98" s="198"/>
      <c r="I98" s="201"/>
    </row>
    <row r="99" spans="1:9" x14ac:dyDescent="0.4">
      <c r="A99" s="198"/>
      <c r="B99" s="198"/>
      <c r="C99" s="198"/>
      <c r="D99" s="198"/>
      <c r="E99" s="198"/>
      <c r="F99" s="198"/>
      <c r="G99" s="198"/>
      <c r="H99" s="198"/>
      <c r="I99" s="201"/>
    </row>
    <row r="100" spans="1:9" x14ac:dyDescent="0.4">
      <c r="A100" s="198"/>
      <c r="B100" s="198"/>
      <c r="C100" s="198"/>
      <c r="D100" s="198"/>
      <c r="E100" s="198"/>
      <c r="F100" s="198"/>
      <c r="G100" s="198"/>
      <c r="H100" s="198"/>
      <c r="I100" s="201"/>
    </row>
    <row r="101" spans="1:9" x14ac:dyDescent="0.4">
      <c r="A101" s="198"/>
      <c r="B101" s="198"/>
      <c r="C101" s="198"/>
      <c r="D101" s="198"/>
      <c r="E101" s="198"/>
      <c r="F101" s="198"/>
      <c r="G101" s="198"/>
      <c r="H101" s="198"/>
      <c r="I101" s="201"/>
    </row>
    <row r="102" spans="1:9" x14ac:dyDescent="0.4">
      <c r="A102" s="198"/>
      <c r="B102" s="198"/>
      <c r="C102" s="198"/>
      <c r="D102" s="198"/>
      <c r="E102" s="198"/>
      <c r="F102" s="198"/>
      <c r="G102" s="198"/>
      <c r="H102" s="198"/>
      <c r="I102" s="201"/>
    </row>
    <row r="103" spans="1:9" x14ac:dyDescent="0.4">
      <c r="A103" s="198"/>
      <c r="B103" s="198"/>
      <c r="C103" s="198"/>
      <c r="D103" s="198"/>
      <c r="E103" s="198"/>
      <c r="F103" s="198"/>
      <c r="G103" s="198"/>
      <c r="H103" s="198"/>
      <c r="I103" s="201"/>
    </row>
    <row r="104" spans="1:9" x14ac:dyDescent="0.4">
      <c r="A104" s="198"/>
      <c r="B104" s="198"/>
      <c r="C104" s="198"/>
      <c r="D104" s="198"/>
      <c r="E104" s="198"/>
      <c r="F104" s="198"/>
      <c r="G104" s="198"/>
      <c r="H104" s="198"/>
      <c r="I104" s="201"/>
    </row>
    <row r="105" spans="1:9" x14ac:dyDescent="0.4">
      <c r="A105" s="198"/>
      <c r="B105" s="198"/>
      <c r="C105" s="198"/>
      <c r="D105" s="198"/>
      <c r="E105" s="198"/>
      <c r="F105" s="198"/>
      <c r="G105" s="198"/>
      <c r="H105" s="198"/>
      <c r="I105" s="201"/>
    </row>
    <row r="106" spans="1:9" x14ac:dyDescent="0.4">
      <c r="A106" s="198"/>
      <c r="B106" s="198"/>
      <c r="C106" s="198"/>
      <c r="D106" s="198"/>
      <c r="E106" s="198"/>
      <c r="F106" s="198"/>
      <c r="G106" s="198"/>
      <c r="H106" s="198"/>
      <c r="I106" s="201"/>
    </row>
    <row r="107" spans="1:9" x14ac:dyDescent="0.4">
      <c r="A107" s="198"/>
      <c r="B107" s="198"/>
      <c r="C107" s="198"/>
      <c r="D107" s="198"/>
      <c r="E107" s="198"/>
      <c r="F107" s="198"/>
      <c r="G107" s="198"/>
      <c r="H107" s="198"/>
      <c r="I107" s="201"/>
    </row>
    <row r="108" spans="1:9" x14ac:dyDescent="0.4">
      <c r="A108" s="198"/>
      <c r="B108" s="198"/>
      <c r="C108" s="198"/>
      <c r="D108" s="198"/>
      <c r="E108" s="198"/>
      <c r="F108" s="198"/>
      <c r="G108" s="198"/>
      <c r="H108" s="198"/>
      <c r="I108" s="201"/>
    </row>
    <row r="109" spans="1:9" x14ac:dyDescent="0.4">
      <c r="A109" s="198"/>
      <c r="B109" s="198"/>
      <c r="C109" s="198"/>
      <c r="D109" s="198"/>
      <c r="E109" s="198"/>
      <c r="F109" s="198"/>
      <c r="G109" s="198"/>
      <c r="H109" s="198"/>
      <c r="I109" s="201"/>
    </row>
    <row r="110" spans="1:9" x14ac:dyDescent="0.4">
      <c r="A110" s="198"/>
      <c r="B110" s="198"/>
      <c r="C110" s="198"/>
      <c r="D110" s="198"/>
      <c r="E110" s="198"/>
      <c r="F110" s="198"/>
      <c r="G110" s="198"/>
      <c r="H110" s="198"/>
      <c r="I110" s="201"/>
    </row>
    <row r="111" spans="1:9" x14ac:dyDescent="0.4">
      <c r="A111" s="198"/>
      <c r="B111" s="198"/>
      <c r="C111" s="198"/>
      <c r="D111" s="198"/>
      <c r="E111" s="198"/>
      <c r="F111" s="198"/>
      <c r="G111" s="198"/>
      <c r="H111" s="198"/>
      <c r="I111" s="201"/>
    </row>
    <row r="112" spans="1:9" x14ac:dyDescent="0.4">
      <c r="A112" s="198"/>
      <c r="B112" s="198"/>
      <c r="C112" s="198"/>
      <c r="D112" s="198"/>
      <c r="E112" s="198"/>
      <c r="F112" s="198"/>
      <c r="G112" s="198"/>
      <c r="H112" s="198"/>
      <c r="I112" s="201"/>
    </row>
    <row r="113" spans="1:9" x14ac:dyDescent="0.4">
      <c r="A113" s="198"/>
      <c r="B113" s="198"/>
      <c r="C113" s="198"/>
      <c r="D113" s="198"/>
      <c r="E113" s="198"/>
      <c r="F113" s="198"/>
      <c r="G113" s="198"/>
      <c r="H113" s="198"/>
      <c r="I113" s="201"/>
    </row>
    <row r="114" spans="1:9" x14ac:dyDescent="0.4">
      <c r="A114" s="198"/>
      <c r="B114" s="198"/>
      <c r="C114" s="198"/>
      <c r="D114" s="198"/>
      <c r="E114" s="198"/>
      <c r="F114" s="198"/>
      <c r="G114" s="198"/>
      <c r="H114" s="198"/>
      <c r="I114" s="201"/>
    </row>
    <row r="115" spans="1:9" x14ac:dyDescent="0.4">
      <c r="A115" s="198"/>
      <c r="B115" s="198"/>
      <c r="C115" s="198"/>
      <c r="D115" s="198"/>
      <c r="E115" s="198"/>
      <c r="F115" s="198"/>
      <c r="G115" s="198"/>
      <c r="H115" s="198"/>
      <c r="I115" s="201"/>
    </row>
    <row r="116" spans="1:9" x14ac:dyDescent="0.4">
      <c r="A116" s="198"/>
      <c r="B116" s="198"/>
      <c r="C116" s="198"/>
      <c r="D116" s="198"/>
      <c r="E116" s="198"/>
      <c r="F116" s="198"/>
      <c r="G116" s="198"/>
      <c r="H116" s="198"/>
      <c r="I116" s="201"/>
    </row>
    <row r="117" spans="1:9" x14ac:dyDescent="0.4">
      <c r="A117" s="198"/>
      <c r="B117" s="198"/>
      <c r="C117" s="198"/>
      <c r="D117" s="198"/>
      <c r="E117" s="198"/>
      <c r="F117" s="198"/>
      <c r="G117" s="198"/>
      <c r="H117" s="198"/>
      <c r="I117" s="201"/>
    </row>
    <row r="118" spans="1:9" x14ac:dyDescent="0.4">
      <c r="A118" s="198"/>
      <c r="B118" s="198"/>
      <c r="C118" s="198"/>
      <c r="D118" s="198"/>
      <c r="E118" s="198"/>
      <c r="F118" s="198"/>
      <c r="G118" s="198"/>
      <c r="H118" s="198"/>
      <c r="I118" s="201"/>
    </row>
    <row r="119" spans="1:9" x14ac:dyDescent="0.4">
      <c r="A119" s="198"/>
      <c r="B119" s="198"/>
      <c r="C119" s="198"/>
      <c r="D119" s="198"/>
      <c r="E119" s="198"/>
      <c r="F119" s="198"/>
      <c r="G119" s="198"/>
      <c r="H119" s="198"/>
      <c r="I119" s="201"/>
    </row>
    <row r="120" spans="1:9" x14ac:dyDescent="0.4">
      <c r="A120" s="198"/>
      <c r="B120" s="198"/>
      <c r="C120" s="198"/>
      <c r="D120" s="198"/>
      <c r="E120" s="198"/>
      <c r="F120" s="198"/>
      <c r="G120" s="198"/>
      <c r="H120" s="198"/>
      <c r="I120" s="201"/>
    </row>
    <row r="121" spans="1:9" x14ac:dyDescent="0.4">
      <c r="A121" s="198"/>
      <c r="B121" s="198"/>
      <c r="C121" s="198"/>
      <c r="D121" s="198"/>
      <c r="E121" s="198"/>
      <c r="F121" s="198"/>
      <c r="G121" s="198"/>
      <c r="H121" s="198"/>
      <c r="I121" s="201"/>
    </row>
    <row r="122" spans="1:9" x14ac:dyDescent="0.4">
      <c r="A122" s="198"/>
      <c r="B122" s="198"/>
      <c r="C122" s="198"/>
      <c r="D122" s="198"/>
      <c r="E122" s="198"/>
      <c r="F122" s="198"/>
      <c r="G122" s="198"/>
      <c r="H122" s="198"/>
      <c r="I122" s="201"/>
    </row>
    <row r="123" spans="1:9" x14ac:dyDescent="0.4">
      <c r="A123" s="198"/>
      <c r="B123" s="198"/>
      <c r="C123" s="198"/>
      <c r="D123" s="198"/>
      <c r="E123" s="198"/>
      <c r="F123" s="198"/>
      <c r="G123" s="198"/>
      <c r="H123" s="198"/>
      <c r="I123" s="201"/>
    </row>
    <row r="124" spans="1:9" x14ac:dyDescent="0.4">
      <c r="A124" s="198"/>
      <c r="B124" s="198"/>
      <c r="C124" s="198"/>
      <c r="D124" s="198"/>
      <c r="E124" s="198"/>
      <c r="F124" s="198"/>
      <c r="G124" s="198"/>
      <c r="H124" s="198"/>
      <c r="I124" s="201"/>
    </row>
    <row r="125" spans="1:9" x14ac:dyDescent="0.4">
      <c r="A125" s="198"/>
      <c r="B125" s="198"/>
      <c r="C125" s="198"/>
      <c r="D125" s="198"/>
      <c r="E125" s="198"/>
      <c r="F125" s="198"/>
      <c r="G125" s="198"/>
      <c r="H125" s="198"/>
      <c r="I125" s="201"/>
    </row>
    <row r="126" spans="1:9" x14ac:dyDescent="0.4">
      <c r="A126" s="198"/>
      <c r="B126" s="198"/>
      <c r="C126" s="198"/>
      <c r="D126" s="198"/>
      <c r="E126" s="198"/>
      <c r="F126" s="198"/>
      <c r="G126" s="198"/>
      <c r="H126" s="198"/>
      <c r="I126" s="201"/>
    </row>
    <row r="127" spans="1:9" x14ac:dyDescent="0.4">
      <c r="A127" s="198"/>
      <c r="B127" s="198"/>
      <c r="C127" s="198"/>
      <c r="D127" s="198"/>
      <c r="E127" s="198"/>
      <c r="F127" s="198"/>
      <c r="G127" s="198"/>
      <c r="H127" s="198"/>
      <c r="I127" s="201"/>
    </row>
    <row r="128" spans="1:9" x14ac:dyDescent="0.4">
      <c r="A128" s="198"/>
      <c r="B128" s="198"/>
      <c r="C128" s="198"/>
      <c r="D128" s="198"/>
      <c r="E128" s="198"/>
      <c r="F128" s="198"/>
      <c r="G128" s="198"/>
      <c r="H128" s="198"/>
      <c r="I128" s="201"/>
    </row>
    <row r="129" spans="1:9" x14ac:dyDescent="0.4">
      <c r="A129" s="198"/>
      <c r="B129" s="198"/>
      <c r="C129" s="198"/>
      <c r="D129" s="198"/>
      <c r="E129" s="198"/>
      <c r="F129" s="198"/>
      <c r="G129" s="198"/>
      <c r="H129" s="198"/>
      <c r="I129" s="201"/>
    </row>
    <row r="130" spans="1:9" x14ac:dyDescent="0.4">
      <c r="A130" s="198"/>
      <c r="B130" s="198"/>
      <c r="C130" s="198"/>
      <c r="D130" s="198"/>
      <c r="E130" s="198"/>
      <c r="F130" s="198"/>
      <c r="G130" s="198"/>
      <c r="H130" s="198"/>
      <c r="I130" s="201"/>
    </row>
    <row r="131" spans="1:9" x14ac:dyDescent="0.4">
      <c r="A131" s="198"/>
      <c r="B131" s="198"/>
      <c r="C131" s="198"/>
      <c r="D131" s="198"/>
      <c r="E131" s="198"/>
      <c r="F131" s="198"/>
      <c r="G131" s="198"/>
      <c r="H131" s="198"/>
      <c r="I131" s="201"/>
    </row>
    <row r="132" spans="1:9" x14ac:dyDescent="0.4">
      <c r="A132" s="198"/>
      <c r="B132" s="198"/>
      <c r="C132" s="198"/>
      <c r="D132" s="198"/>
      <c r="E132" s="198"/>
      <c r="F132" s="198"/>
      <c r="G132" s="198"/>
      <c r="H132" s="198"/>
      <c r="I132" s="201"/>
    </row>
    <row r="133" spans="1:9" x14ac:dyDescent="0.4">
      <c r="A133" s="198"/>
      <c r="B133" s="198"/>
      <c r="C133" s="198"/>
      <c r="D133" s="198"/>
      <c r="E133" s="198"/>
      <c r="F133" s="198"/>
      <c r="G133" s="198"/>
      <c r="H133" s="198"/>
      <c r="I133" s="201"/>
    </row>
    <row r="134" spans="1:9" x14ac:dyDescent="0.4">
      <c r="A134" s="198"/>
      <c r="B134" s="198"/>
      <c r="C134" s="198"/>
      <c r="D134" s="198"/>
      <c r="E134" s="198"/>
      <c r="F134" s="198"/>
      <c r="G134" s="198"/>
      <c r="H134" s="198"/>
      <c r="I134" s="201"/>
    </row>
    <row r="135" spans="1:9" x14ac:dyDescent="0.4">
      <c r="A135" s="198"/>
      <c r="B135" s="198"/>
      <c r="C135" s="198"/>
      <c r="D135" s="198"/>
      <c r="E135" s="198"/>
      <c r="F135" s="198"/>
      <c r="G135" s="198"/>
      <c r="H135" s="198"/>
      <c r="I135" s="201"/>
    </row>
    <row r="136" spans="1:9" x14ac:dyDescent="0.4">
      <c r="A136" s="198"/>
      <c r="B136" s="198"/>
      <c r="C136" s="198"/>
      <c r="D136" s="198"/>
      <c r="E136" s="198"/>
      <c r="F136" s="198"/>
      <c r="G136" s="198"/>
      <c r="H136" s="198"/>
      <c r="I136" s="201"/>
    </row>
    <row r="137" spans="1:9" x14ac:dyDescent="0.4">
      <c r="A137" s="198"/>
      <c r="B137" s="198"/>
      <c r="C137" s="198"/>
      <c r="D137" s="198"/>
      <c r="E137" s="198"/>
      <c r="F137" s="198"/>
      <c r="G137" s="198"/>
      <c r="H137" s="198"/>
      <c r="I137" s="201"/>
    </row>
    <row r="138" spans="1:9" x14ac:dyDescent="0.4">
      <c r="A138" s="198"/>
      <c r="B138" s="198"/>
      <c r="C138" s="198"/>
      <c r="D138" s="198"/>
      <c r="E138" s="198"/>
      <c r="F138" s="198"/>
      <c r="G138" s="198"/>
      <c r="H138" s="198"/>
      <c r="I138" s="201"/>
    </row>
    <row r="139" spans="1:9" x14ac:dyDescent="0.4">
      <c r="A139" s="198"/>
      <c r="B139" s="198"/>
      <c r="C139" s="198"/>
      <c r="D139" s="198"/>
      <c r="E139" s="198"/>
      <c r="F139" s="198"/>
      <c r="G139" s="198"/>
      <c r="H139" s="198"/>
      <c r="I139" s="201"/>
    </row>
    <row r="140" spans="1:9" x14ac:dyDescent="0.4">
      <c r="A140" s="198"/>
      <c r="B140" s="198"/>
      <c r="C140" s="198"/>
      <c r="D140" s="198"/>
      <c r="E140" s="198"/>
      <c r="F140" s="198"/>
      <c r="G140" s="198"/>
      <c r="H140" s="198"/>
      <c r="I140" s="201"/>
    </row>
    <row r="141" spans="1:9" x14ac:dyDescent="0.4">
      <c r="A141" s="198"/>
      <c r="B141" s="198"/>
      <c r="C141" s="198"/>
      <c r="D141" s="198"/>
      <c r="E141" s="198"/>
      <c r="F141" s="198"/>
      <c r="G141" s="198"/>
      <c r="H141" s="198"/>
      <c r="I141" s="201"/>
    </row>
    <row r="142" spans="1:9" x14ac:dyDescent="0.4">
      <c r="A142" s="198"/>
      <c r="B142" s="198"/>
      <c r="C142" s="198"/>
      <c r="D142" s="198"/>
      <c r="E142" s="198"/>
      <c r="F142" s="198"/>
      <c r="G142" s="198"/>
      <c r="H142" s="198"/>
      <c r="I142" s="201"/>
    </row>
    <row r="143" spans="1:9" x14ac:dyDescent="0.4">
      <c r="A143" s="198"/>
      <c r="B143" s="198"/>
      <c r="C143" s="198"/>
      <c r="D143" s="198"/>
      <c r="E143" s="198"/>
      <c r="F143" s="198"/>
      <c r="G143" s="198"/>
      <c r="H143" s="198"/>
      <c r="I143" s="201"/>
    </row>
    <row r="144" spans="1:9" x14ac:dyDescent="0.4">
      <c r="A144" s="198"/>
      <c r="B144" s="198"/>
      <c r="C144" s="198"/>
      <c r="D144" s="198"/>
      <c r="E144" s="198"/>
      <c r="F144" s="198"/>
      <c r="G144" s="198"/>
      <c r="H144" s="198"/>
      <c r="I144" s="201"/>
    </row>
    <row r="145" spans="1:9" x14ac:dyDescent="0.4">
      <c r="A145" s="198"/>
      <c r="B145" s="198"/>
      <c r="C145" s="198"/>
      <c r="D145" s="198"/>
      <c r="E145" s="198"/>
      <c r="F145" s="198"/>
      <c r="G145" s="198"/>
      <c r="H145" s="198"/>
      <c r="I145" s="201"/>
    </row>
    <row r="146" spans="1:9" x14ac:dyDescent="0.4">
      <c r="A146" s="198"/>
      <c r="B146" s="198"/>
      <c r="C146" s="198"/>
      <c r="D146" s="198"/>
      <c r="E146" s="198"/>
      <c r="F146" s="198"/>
      <c r="G146" s="198"/>
      <c r="H146" s="198"/>
      <c r="I146" s="201"/>
    </row>
    <row r="147" spans="1:9" x14ac:dyDescent="0.4">
      <c r="A147" s="198"/>
      <c r="B147" s="198"/>
      <c r="C147" s="198"/>
      <c r="D147" s="198"/>
      <c r="E147" s="198"/>
      <c r="F147" s="198"/>
      <c r="G147" s="198"/>
      <c r="H147" s="198"/>
      <c r="I147" s="201"/>
    </row>
    <row r="148" spans="1:9" x14ac:dyDescent="0.4">
      <c r="A148" s="198"/>
      <c r="B148" s="198"/>
      <c r="C148" s="198"/>
      <c r="D148" s="198"/>
      <c r="E148" s="198"/>
      <c r="F148" s="198"/>
      <c r="G148" s="198"/>
      <c r="H148" s="198"/>
      <c r="I148" s="201"/>
    </row>
    <row r="149" spans="1:9" x14ac:dyDescent="0.4">
      <c r="A149" s="198"/>
      <c r="B149" s="198"/>
      <c r="C149" s="198"/>
      <c r="D149" s="198"/>
      <c r="E149" s="198"/>
      <c r="F149" s="198"/>
      <c r="G149" s="198"/>
      <c r="H149" s="198"/>
      <c r="I149" s="201"/>
    </row>
    <row r="150" spans="1:9" x14ac:dyDescent="0.4">
      <c r="A150" s="198"/>
      <c r="B150" s="198"/>
      <c r="C150" s="198"/>
      <c r="D150" s="198"/>
      <c r="E150" s="198"/>
      <c r="F150" s="198"/>
      <c r="G150" s="198"/>
      <c r="H150" s="198"/>
      <c r="I150" s="201"/>
    </row>
    <row r="151" spans="1:9" x14ac:dyDescent="0.4">
      <c r="A151" s="198"/>
      <c r="B151" s="198"/>
      <c r="C151" s="198"/>
      <c r="D151" s="198"/>
      <c r="E151" s="198"/>
      <c r="F151" s="198"/>
      <c r="G151" s="198"/>
      <c r="H151" s="198"/>
      <c r="I151" s="201"/>
    </row>
    <row r="152" spans="1:9" x14ac:dyDescent="0.4">
      <c r="A152" s="198"/>
      <c r="B152" s="198"/>
      <c r="C152" s="198"/>
      <c r="D152" s="198"/>
      <c r="E152" s="198"/>
      <c r="F152" s="198"/>
      <c r="G152" s="198"/>
      <c r="H152" s="198"/>
      <c r="I152" s="201"/>
    </row>
    <row r="153" spans="1:9" x14ac:dyDescent="0.4">
      <c r="A153" s="198"/>
      <c r="B153" s="198"/>
      <c r="C153" s="198"/>
      <c r="D153" s="198"/>
      <c r="E153" s="198"/>
      <c r="F153" s="198"/>
      <c r="G153" s="198"/>
      <c r="H153" s="198"/>
      <c r="I153" s="201"/>
    </row>
    <row r="154" spans="1:9" x14ac:dyDescent="0.4">
      <c r="A154" s="198"/>
      <c r="B154" s="198"/>
      <c r="C154" s="198"/>
      <c r="D154" s="198"/>
      <c r="E154" s="198"/>
      <c r="F154" s="198"/>
      <c r="G154" s="198"/>
      <c r="H154" s="198"/>
      <c r="I154" s="201"/>
    </row>
    <row r="155" spans="1:9" x14ac:dyDescent="0.4">
      <c r="A155" s="198"/>
      <c r="B155" s="198"/>
      <c r="C155" s="198"/>
      <c r="D155" s="198"/>
      <c r="E155" s="198"/>
      <c r="F155" s="198"/>
      <c r="G155" s="198"/>
      <c r="H155" s="198"/>
      <c r="I155" s="201"/>
    </row>
    <row r="156" spans="1:9" x14ac:dyDescent="0.4">
      <c r="A156" s="198"/>
      <c r="B156" s="198"/>
      <c r="C156" s="198"/>
      <c r="D156" s="198"/>
      <c r="E156" s="198"/>
      <c r="F156" s="198"/>
      <c r="G156" s="198"/>
      <c r="H156" s="198"/>
      <c r="I156" s="201"/>
    </row>
    <row r="157" spans="1:9" x14ac:dyDescent="0.4">
      <c r="A157" s="198"/>
      <c r="B157" s="198"/>
      <c r="C157" s="198"/>
      <c r="D157" s="198"/>
      <c r="E157" s="198"/>
      <c r="F157" s="198"/>
      <c r="G157" s="198"/>
      <c r="H157" s="198"/>
      <c r="I157" s="201"/>
    </row>
    <row r="158" spans="1:9" x14ac:dyDescent="0.4">
      <c r="A158" s="198"/>
      <c r="B158" s="198"/>
      <c r="C158" s="198"/>
      <c r="D158" s="198"/>
      <c r="E158" s="198"/>
      <c r="F158" s="198"/>
      <c r="G158" s="198"/>
      <c r="H158" s="198"/>
      <c r="I158" s="201"/>
    </row>
    <row r="159" spans="1:9" x14ac:dyDescent="0.4">
      <c r="A159" s="198"/>
      <c r="B159" s="198"/>
      <c r="C159" s="198"/>
      <c r="D159" s="198"/>
      <c r="E159" s="198"/>
      <c r="F159" s="198"/>
      <c r="G159" s="198"/>
      <c r="H159" s="198"/>
      <c r="I159" s="201"/>
    </row>
    <row r="160" spans="1:9" x14ac:dyDescent="0.4">
      <c r="A160" s="198"/>
      <c r="B160" s="198"/>
      <c r="C160" s="198"/>
      <c r="D160" s="198"/>
      <c r="E160" s="198"/>
      <c r="F160" s="198"/>
      <c r="G160" s="198"/>
      <c r="H160" s="198"/>
      <c r="I160" s="201"/>
    </row>
    <row r="161" spans="1:9" x14ac:dyDescent="0.4">
      <c r="A161" s="198"/>
      <c r="B161" s="198"/>
      <c r="C161" s="198"/>
      <c r="D161" s="198"/>
      <c r="E161" s="198"/>
      <c r="F161" s="198"/>
      <c r="G161" s="198"/>
      <c r="H161" s="198"/>
      <c r="I161" s="201"/>
    </row>
    <row r="162" spans="1:9" x14ac:dyDescent="0.4">
      <c r="A162" s="198"/>
      <c r="B162" s="198"/>
      <c r="C162" s="198"/>
      <c r="D162" s="198"/>
      <c r="E162" s="198"/>
      <c r="F162" s="198"/>
      <c r="G162" s="198"/>
      <c r="H162" s="198"/>
      <c r="I162" s="201"/>
    </row>
    <row r="163" spans="1:9" x14ac:dyDescent="0.4">
      <c r="A163" s="198"/>
      <c r="B163" s="198"/>
      <c r="C163" s="198"/>
      <c r="D163" s="198"/>
      <c r="E163" s="198"/>
      <c r="F163" s="198"/>
      <c r="G163" s="198"/>
      <c r="H163" s="198"/>
      <c r="I163" s="201"/>
    </row>
    <row r="164" spans="1:9" x14ac:dyDescent="0.4">
      <c r="A164" s="198"/>
      <c r="B164" s="198"/>
      <c r="C164" s="198"/>
      <c r="D164" s="198"/>
      <c r="E164" s="198"/>
      <c r="F164" s="198"/>
      <c r="G164" s="198"/>
      <c r="H164" s="198"/>
      <c r="I164" s="201"/>
    </row>
    <row r="165" spans="1:9" x14ac:dyDescent="0.4">
      <c r="A165" s="198"/>
      <c r="B165" s="198"/>
      <c r="C165" s="198"/>
      <c r="D165" s="198"/>
      <c r="E165" s="198"/>
      <c r="F165" s="198"/>
      <c r="G165" s="198"/>
      <c r="H165" s="198"/>
      <c r="I165" s="201"/>
    </row>
    <row r="166" spans="1:9" x14ac:dyDescent="0.4">
      <c r="A166" s="198"/>
      <c r="B166" s="198"/>
      <c r="C166" s="198"/>
      <c r="D166" s="198"/>
      <c r="E166" s="198"/>
      <c r="F166" s="198"/>
      <c r="G166" s="198"/>
      <c r="H166" s="198"/>
      <c r="I166" s="201"/>
    </row>
    <row r="167" spans="1:9" x14ac:dyDescent="0.4">
      <c r="A167" s="198"/>
      <c r="B167" s="198"/>
      <c r="C167" s="198"/>
      <c r="D167" s="198"/>
      <c r="E167" s="198"/>
      <c r="F167" s="198"/>
      <c r="G167" s="198"/>
      <c r="H167" s="198"/>
      <c r="I167" s="201"/>
    </row>
    <row r="168" spans="1:9" x14ac:dyDescent="0.4">
      <c r="A168" s="198"/>
      <c r="B168" s="198"/>
      <c r="C168" s="198"/>
      <c r="D168" s="198"/>
      <c r="E168" s="198"/>
      <c r="F168" s="198"/>
      <c r="G168" s="198"/>
      <c r="H168" s="198"/>
      <c r="I168" s="201"/>
    </row>
    <row r="169" spans="1:9" x14ac:dyDescent="0.4">
      <c r="A169" s="198"/>
      <c r="B169" s="198"/>
      <c r="C169" s="198"/>
      <c r="D169" s="198"/>
      <c r="E169" s="198"/>
      <c r="F169" s="198"/>
      <c r="G169" s="198"/>
      <c r="H169" s="198"/>
      <c r="I169" s="201"/>
    </row>
    <row r="170" spans="1:9" x14ac:dyDescent="0.4">
      <c r="A170" s="198"/>
      <c r="B170" s="198"/>
      <c r="C170" s="198"/>
      <c r="D170" s="198"/>
      <c r="E170" s="198"/>
      <c r="F170" s="198"/>
      <c r="G170" s="198"/>
      <c r="H170" s="198"/>
      <c r="I170" s="201"/>
    </row>
    <row r="171" spans="1:9" x14ac:dyDescent="0.4">
      <c r="A171" s="198"/>
      <c r="B171" s="198"/>
      <c r="C171" s="198"/>
      <c r="D171" s="198"/>
      <c r="E171" s="198"/>
      <c r="F171" s="198"/>
      <c r="G171" s="198"/>
      <c r="H171" s="198"/>
      <c r="I171" s="201"/>
    </row>
    <row r="172" spans="1:9" x14ac:dyDescent="0.4">
      <c r="A172" s="198"/>
      <c r="B172" s="198"/>
      <c r="C172" s="198"/>
      <c r="D172" s="198"/>
      <c r="E172" s="198"/>
      <c r="F172" s="198"/>
      <c r="G172" s="198"/>
      <c r="H172" s="198"/>
      <c r="I172" s="201"/>
    </row>
    <row r="173" spans="1:9" x14ac:dyDescent="0.4">
      <c r="A173" s="198"/>
      <c r="B173" s="198"/>
      <c r="C173" s="198"/>
      <c r="D173" s="198"/>
      <c r="E173" s="198"/>
      <c r="F173" s="198"/>
      <c r="G173" s="198"/>
      <c r="H173" s="198"/>
      <c r="I173" s="201"/>
    </row>
    <row r="174" spans="1:9" x14ac:dyDescent="0.4">
      <c r="A174" s="198"/>
      <c r="B174" s="198"/>
      <c r="C174" s="198"/>
      <c r="D174" s="198"/>
      <c r="E174" s="198"/>
      <c r="F174" s="198"/>
      <c r="G174" s="198"/>
      <c r="H174" s="198"/>
      <c r="I174" s="201"/>
    </row>
    <row r="175" spans="1:9" x14ac:dyDescent="0.4">
      <c r="A175" s="198"/>
      <c r="B175" s="198"/>
      <c r="C175" s="198"/>
      <c r="D175" s="198"/>
      <c r="E175" s="198"/>
      <c r="F175" s="198"/>
      <c r="G175" s="198"/>
      <c r="H175" s="198"/>
      <c r="I175" s="201"/>
    </row>
    <row r="176" spans="1:9" x14ac:dyDescent="0.4">
      <c r="A176" s="198"/>
      <c r="B176" s="198"/>
      <c r="C176" s="198"/>
      <c r="D176" s="198"/>
      <c r="E176" s="198"/>
      <c r="F176" s="198"/>
      <c r="G176" s="198"/>
      <c r="H176" s="198"/>
      <c r="I176" s="201"/>
    </row>
    <row r="177" spans="1:9" x14ac:dyDescent="0.4">
      <c r="A177" s="198"/>
      <c r="B177" s="198"/>
      <c r="C177" s="198"/>
      <c r="D177" s="198"/>
      <c r="E177" s="198"/>
      <c r="F177" s="198"/>
      <c r="G177" s="198"/>
      <c r="H177" s="198"/>
      <c r="I177" s="201"/>
    </row>
    <row r="178" spans="1:9" x14ac:dyDescent="0.4">
      <c r="A178" s="198"/>
      <c r="B178" s="198"/>
      <c r="C178" s="198"/>
      <c r="D178" s="198"/>
      <c r="E178" s="198"/>
      <c r="F178" s="198"/>
      <c r="G178" s="198"/>
      <c r="H178" s="198"/>
      <c r="I178" s="201"/>
    </row>
    <row r="179" spans="1:9" x14ac:dyDescent="0.4">
      <c r="A179" s="198"/>
      <c r="B179" s="198"/>
      <c r="C179" s="198"/>
      <c r="D179" s="198"/>
      <c r="E179" s="198"/>
      <c r="F179" s="198"/>
      <c r="G179" s="198"/>
      <c r="H179" s="198"/>
      <c r="I179" s="201"/>
    </row>
    <row r="180" spans="1:9" x14ac:dyDescent="0.4">
      <c r="A180" s="198"/>
      <c r="B180" s="198"/>
      <c r="C180" s="198"/>
      <c r="D180" s="198"/>
      <c r="E180" s="198"/>
      <c r="F180" s="198"/>
      <c r="G180" s="198"/>
      <c r="H180" s="198"/>
      <c r="I180" s="201"/>
    </row>
    <row r="181" spans="1:9" x14ac:dyDescent="0.4">
      <c r="A181" s="198"/>
      <c r="B181" s="198"/>
      <c r="C181" s="198"/>
      <c r="D181" s="198"/>
      <c r="E181" s="198"/>
      <c r="F181" s="198"/>
      <c r="G181" s="198"/>
      <c r="H181" s="198"/>
      <c r="I181" s="201"/>
    </row>
    <row r="182" spans="1:9" x14ac:dyDescent="0.4">
      <c r="A182" s="198"/>
      <c r="B182" s="198"/>
      <c r="C182" s="198"/>
      <c r="D182" s="198"/>
      <c r="E182" s="198"/>
      <c r="F182" s="198"/>
      <c r="G182" s="198"/>
      <c r="H182" s="198"/>
      <c r="I182" s="201"/>
    </row>
    <row r="183" spans="1:9" x14ac:dyDescent="0.4">
      <c r="A183" s="198"/>
      <c r="B183" s="198"/>
      <c r="C183" s="198"/>
      <c r="D183" s="198"/>
      <c r="E183" s="198"/>
      <c r="F183" s="198"/>
      <c r="G183" s="198"/>
      <c r="H183" s="198"/>
      <c r="I183" s="201"/>
    </row>
    <row r="184" spans="1:9" x14ac:dyDescent="0.4">
      <c r="A184" s="198"/>
      <c r="B184" s="198"/>
      <c r="C184" s="198"/>
      <c r="D184" s="198"/>
      <c r="E184" s="198"/>
      <c r="F184" s="198"/>
      <c r="G184" s="198"/>
      <c r="H184" s="198"/>
      <c r="I184" s="201"/>
    </row>
    <row r="185" spans="1:9" x14ac:dyDescent="0.4">
      <c r="A185" s="198"/>
      <c r="B185" s="198"/>
      <c r="C185" s="198"/>
      <c r="D185" s="198"/>
      <c r="E185" s="198"/>
      <c r="F185" s="198"/>
      <c r="G185" s="198"/>
      <c r="H185" s="198"/>
      <c r="I185" s="201"/>
    </row>
    <row r="186" spans="1:9" x14ac:dyDescent="0.4">
      <c r="A186" s="198"/>
      <c r="B186" s="198"/>
      <c r="C186" s="198"/>
      <c r="D186" s="198"/>
      <c r="E186" s="198"/>
      <c r="F186" s="198"/>
      <c r="G186" s="198"/>
      <c r="H186" s="198"/>
      <c r="I186" s="201"/>
    </row>
    <row r="187" spans="1:9" x14ac:dyDescent="0.4">
      <c r="A187" s="198"/>
      <c r="B187" s="198"/>
      <c r="C187" s="198"/>
      <c r="D187" s="198"/>
      <c r="E187" s="198"/>
      <c r="F187" s="198"/>
      <c r="G187" s="198"/>
      <c r="H187" s="198"/>
      <c r="I187" s="201"/>
    </row>
    <row r="188" spans="1:9" x14ac:dyDescent="0.4">
      <c r="A188" s="198"/>
      <c r="B188" s="198"/>
      <c r="C188" s="198"/>
      <c r="D188" s="198"/>
      <c r="E188" s="198"/>
      <c r="F188" s="198"/>
      <c r="G188" s="198"/>
      <c r="H188" s="198"/>
      <c r="I188" s="201"/>
    </row>
    <row r="189" spans="1:9" x14ac:dyDescent="0.4">
      <c r="A189" s="198"/>
      <c r="B189" s="198"/>
      <c r="C189" s="198"/>
      <c r="D189" s="198"/>
      <c r="E189" s="198"/>
      <c r="F189" s="198"/>
      <c r="G189" s="198"/>
      <c r="H189" s="198"/>
      <c r="I189" s="201"/>
    </row>
    <row r="190" spans="1:9" x14ac:dyDescent="0.4">
      <c r="A190" s="198"/>
      <c r="B190" s="198"/>
      <c r="C190" s="198"/>
      <c r="D190" s="198"/>
      <c r="E190" s="198"/>
      <c r="F190" s="198"/>
      <c r="G190" s="198"/>
      <c r="H190" s="198"/>
      <c r="I190" s="201"/>
    </row>
    <row r="191" spans="1:9" x14ac:dyDescent="0.4">
      <c r="A191" s="198"/>
      <c r="B191" s="198"/>
      <c r="C191" s="198"/>
      <c r="D191" s="198"/>
      <c r="E191" s="198"/>
      <c r="F191" s="198"/>
      <c r="G191" s="198"/>
      <c r="H191" s="198"/>
      <c r="I191" s="201"/>
    </row>
    <row r="192" spans="1:9" x14ac:dyDescent="0.4">
      <c r="A192" s="198"/>
      <c r="B192" s="198"/>
      <c r="C192" s="198"/>
      <c r="D192" s="198"/>
      <c r="E192" s="198"/>
      <c r="F192" s="198"/>
      <c r="G192" s="198"/>
      <c r="H192" s="198"/>
      <c r="I192" s="201"/>
    </row>
    <row r="193" spans="1:9" x14ac:dyDescent="0.4">
      <c r="A193" s="198"/>
      <c r="B193" s="198"/>
      <c r="C193" s="198"/>
      <c r="D193" s="198"/>
      <c r="E193" s="198"/>
      <c r="F193" s="198"/>
      <c r="G193" s="198"/>
      <c r="H193" s="198"/>
      <c r="I193" s="201"/>
    </row>
    <row r="194" spans="1:9" x14ac:dyDescent="0.4">
      <c r="A194" s="198"/>
      <c r="B194" s="198"/>
      <c r="C194" s="198"/>
      <c r="D194" s="198"/>
      <c r="E194" s="198"/>
      <c r="F194" s="198"/>
      <c r="G194" s="198"/>
      <c r="H194" s="198"/>
      <c r="I194" s="201"/>
    </row>
    <row r="195" spans="1:9" x14ac:dyDescent="0.4">
      <c r="A195" s="198"/>
      <c r="B195" s="198"/>
      <c r="C195" s="198"/>
      <c r="D195" s="198"/>
      <c r="E195" s="198"/>
      <c r="F195" s="198"/>
      <c r="G195" s="198"/>
      <c r="H195" s="198"/>
      <c r="I195" s="201"/>
    </row>
    <row r="196" spans="1:9" x14ac:dyDescent="0.4">
      <c r="A196" s="198"/>
      <c r="B196" s="198"/>
      <c r="C196" s="198"/>
      <c r="D196" s="198"/>
      <c r="E196" s="198"/>
      <c r="F196" s="198"/>
      <c r="G196" s="198"/>
      <c r="H196" s="198"/>
      <c r="I196" s="201"/>
    </row>
    <row r="197" spans="1:9" x14ac:dyDescent="0.4">
      <c r="A197" s="198"/>
      <c r="B197" s="198"/>
      <c r="C197" s="198"/>
      <c r="D197" s="198"/>
      <c r="E197" s="198"/>
      <c r="F197" s="198"/>
      <c r="G197" s="198"/>
      <c r="H197" s="198"/>
      <c r="I197" s="201"/>
    </row>
    <row r="198" spans="1:9" x14ac:dyDescent="0.4">
      <c r="A198" s="198"/>
      <c r="B198" s="198"/>
      <c r="C198" s="198"/>
      <c r="D198" s="198"/>
      <c r="E198" s="198"/>
      <c r="F198" s="198"/>
      <c r="G198" s="198"/>
      <c r="H198" s="198"/>
      <c r="I198" s="201"/>
    </row>
    <row r="199" spans="1:9" x14ac:dyDescent="0.4">
      <c r="A199" s="198"/>
      <c r="B199" s="198"/>
      <c r="C199" s="198"/>
      <c r="D199" s="198"/>
      <c r="E199" s="198"/>
      <c r="F199" s="198"/>
      <c r="G199" s="198"/>
      <c r="H199" s="198"/>
      <c r="I199" s="201"/>
    </row>
    <row r="200" spans="1:9" x14ac:dyDescent="0.4">
      <c r="A200" s="198"/>
      <c r="B200" s="198"/>
      <c r="C200" s="198"/>
      <c r="D200" s="198"/>
      <c r="E200" s="198"/>
      <c r="F200" s="198"/>
      <c r="G200" s="198"/>
      <c r="H200" s="198"/>
      <c r="I200" s="201"/>
    </row>
    <row r="201" spans="1:9" x14ac:dyDescent="0.4">
      <c r="A201" s="198"/>
      <c r="B201" s="198"/>
      <c r="C201" s="198"/>
      <c r="D201" s="198"/>
      <c r="E201" s="198"/>
      <c r="F201" s="198"/>
      <c r="G201" s="198"/>
      <c r="H201" s="198"/>
      <c r="I201" s="201"/>
    </row>
    <row r="202" spans="1:9" x14ac:dyDescent="0.4">
      <c r="A202" s="198"/>
      <c r="B202" s="198"/>
      <c r="C202" s="198"/>
      <c r="D202" s="198"/>
      <c r="E202" s="198"/>
      <c r="F202" s="198"/>
      <c r="G202" s="198"/>
      <c r="H202" s="198"/>
      <c r="I202" s="201"/>
    </row>
    <row r="203" spans="1:9" x14ac:dyDescent="0.4">
      <c r="A203" s="198"/>
      <c r="B203" s="198"/>
      <c r="C203" s="198"/>
      <c r="D203" s="198"/>
      <c r="E203" s="198"/>
      <c r="F203" s="198"/>
      <c r="G203" s="198"/>
      <c r="H203" s="198"/>
      <c r="I203" s="201"/>
    </row>
    <row r="204" spans="1:9" x14ac:dyDescent="0.4">
      <c r="A204" s="198"/>
      <c r="B204" s="198"/>
      <c r="C204" s="198"/>
      <c r="D204" s="198"/>
      <c r="E204" s="198"/>
      <c r="F204" s="198"/>
      <c r="G204" s="198"/>
      <c r="H204" s="198"/>
      <c r="I204" s="201"/>
    </row>
    <row r="205" spans="1:9" x14ac:dyDescent="0.4">
      <c r="A205" s="198"/>
      <c r="B205" s="198"/>
      <c r="C205" s="198"/>
      <c r="D205" s="198"/>
      <c r="E205" s="198"/>
      <c r="F205" s="198"/>
      <c r="G205" s="198"/>
      <c r="H205" s="198"/>
      <c r="I205" s="201"/>
    </row>
    <row r="206" spans="1:9" x14ac:dyDescent="0.4">
      <c r="A206" s="198"/>
      <c r="B206" s="198"/>
      <c r="C206" s="198"/>
      <c r="D206" s="198"/>
      <c r="E206" s="198"/>
      <c r="F206" s="198"/>
      <c r="G206" s="198"/>
      <c r="H206" s="198"/>
      <c r="I206" s="201"/>
    </row>
    <row r="207" spans="1:9" x14ac:dyDescent="0.4">
      <c r="A207" s="198"/>
      <c r="B207" s="198"/>
      <c r="C207" s="198"/>
      <c r="D207" s="198"/>
      <c r="E207" s="198"/>
      <c r="F207" s="198"/>
      <c r="G207" s="198"/>
      <c r="H207" s="198"/>
      <c r="I207" s="201"/>
    </row>
    <row r="208" spans="1:9" x14ac:dyDescent="0.4">
      <c r="A208" s="198"/>
      <c r="B208" s="198"/>
      <c r="C208" s="198"/>
      <c r="D208" s="198"/>
      <c r="E208" s="198"/>
      <c r="F208" s="198"/>
      <c r="G208" s="198"/>
      <c r="H208" s="198"/>
      <c r="I208" s="201"/>
    </row>
    <row r="209" spans="1:9" x14ac:dyDescent="0.4">
      <c r="A209" s="198"/>
      <c r="B209" s="198"/>
      <c r="C209" s="198"/>
      <c r="D209" s="198"/>
      <c r="E209" s="198"/>
      <c r="F209" s="198"/>
      <c r="G209" s="198"/>
      <c r="H209" s="198"/>
      <c r="I209" s="201"/>
    </row>
    <row r="210" spans="1:9" x14ac:dyDescent="0.4">
      <c r="A210" s="198"/>
      <c r="B210" s="198"/>
      <c r="C210" s="198"/>
      <c r="D210" s="198"/>
      <c r="E210" s="198"/>
      <c r="F210" s="198"/>
      <c r="G210" s="198"/>
      <c r="H210" s="198"/>
      <c r="I210" s="201"/>
    </row>
    <row r="211" spans="1:9" x14ac:dyDescent="0.4">
      <c r="A211" s="198"/>
      <c r="B211" s="198"/>
      <c r="C211" s="198"/>
      <c r="D211" s="198"/>
      <c r="E211" s="198"/>
      <c r="F211" s="198"/>
      <c r="G211" s="198"/>
      <c r="H211" s="198"/>
      <c r="I211" s="201"/>
    </row>
    <row r="212" spans="1:9" x14ac:dyDescent="0.4">
      <c r="A212" s="198"/>
      <c r="B212" s="198"/>
      <c r="C212" s="198"/>
      <c r="D212" s="198"/>
      <c r="E212" s="198"/>
      <c r="F212" s="198"/>
      <c r="G212" s="198"/>
      <c r="H212" s="198"/>
      <c r="I212" s="201"/>
    </row>
    <row r="213" spans="1:9" x14ac:dyDescent="0.4">
      <c r="A213" s="198"/>
      <c r="B213" s="198"/>
      <c r="C213" s="198"/>
      <c r="D213" s="198"/>
      <c r="E213" s="198"/>
      <c r="F213" s="198"/>
      <c r="G213" s="198"/>
      <c r="H213" s="198"/>
      <c r="I213" s="201"/>
    </row>
    <row r="214" spans="1:9" x14ac:dyDescent="0.4">
      <c r="A214" s="198"/>
      <c r="B214" s="198"/>
      <c r="C214" s="198"/>
      <c r="D214" s="198"/>
      <c r="E214" s="198"/>
      <c r="F214" s="198"/>
      <c r="G214" s="198"/>
      <c r="H214" s="198"/>
      <c r="I214" s="201"/>
    </row>
    <row r="215" spans="1:9" x14ac:dyDescent="0.4">
      <c r="A215" s="198"/>
      <c r="B215" s="198"/>
      <c r="C215" s="198"/>
      <c r="D215" s="198"/>
      <c r="E215" s="198"/>
      <c r="F215" s="198"/>
      <c r="G215" s="198"/>
      <c r="H215" s="198"/>
      <c r="I215" s="201"/>
    </row>
    <row r="216" spans="1:9" x14ac:dyDescent="0.4">
      <c r="A216" s="198"/>
      <c r="B216" s="198"/>
      <c r="C216" s="198"/>
      <c r="D216" s="198"/>
      <c r="E216" s="198"/>
      <c r="F216" s="198"/>
      <c r="G216" s="198"/>
      <c r="H216" s="198"/>
      <c r="I216" s="201"/>
    </row>
    <row r="217" spans="1:9" x14ac:dyDescent="0.4">
      <c r="A217" s="198"/>
      <c r="B217" s="198"/>
      <c r="C217" s="198"/>
      <c r="D217" s="198"/>
      <c r="E217" s="198"/>
      <c r="F217" s="198"/>
      <c r="G217" s="198"/>
      <c r="H217" s="198"/>
      <c r="I217" s="201"/>
    </row>
    <row r="218" spans="1:9" x14ac:dyDescent="0.4">
      <c r="A218" s="198"/>
      <c r="B218" s="198"/>
      <c r="C218" s="198"/>
      <c r="D218" s="198"/>
      <c r="E218" s="198"/>
      <c r="F218" s="198"/>
      <c r="G218" s="198"/>
      <c r="H218" s="198"/>
      <c r="I218" s="201"/>
    </row>
    <row r="219" spans="1:9" x14ac:dyDescent="0.4">
      <c r="A219" s="198"/>
      <c r="B219" s="198"/>
      <c r="C219" s="198"/>
      <c r="D219" s="198"/>
      <c r="E219" s="198"/>
      <c r="F219" s="198"/>
      <c r="G219" s="198"/>
      <c r="H219" s="198"/>
      <c r="I219" s="201"/>
    </row>
    <row r="220" spans="1:9" x14ac:dyDescent="0.4">
      <c r="A220" s="198"/>
      <c r="B220" s="198"/>
      <c r="C220" s="198"/>
      <c r="D220" s="198"/>
      <c r="E220" s="198"/>
      <c r="F220" s="198"/>
      <c r="G220" s="198"/>
      <c r="H220" s="198"/>
      <c r="I220" s="201"/>
    </row>
    <row r="221" spans="1:9" x14ac:dyDescent="0.4">
      <c r="A221" s="198"/>
      <c r="B221" s="198"/>
      <c r="C221" s="198"/>
      <c r="D221" s="198"/>
      <c r="E221" s="198"/>
      <c r="F221" s="198"/>
      <c r="G221" s="198"/>
      <c r="H221" s="198"/>
      <c r="I221" s="201"/>
    </row>
    <row r="222" spans="1:9" x14ac:dyDescent="0.4">
      <c r="A222" s="198"/>
      <c r="B222" s="198"/>
      <c r="C222" s="198"/>
      <c r="D222" s="198"/>
      <c r="E222" s="198"/>
      <c r="F222" s="198"/>
      <c r="G222" s="198"/>
      <c r="H222" s="198"/>
      <c r="I222" s="201"/>
    </row>
    <row r="223" spans="1:9" x14ac:dyDescent="0.4">
      <c r="A223" s="198"/>
      <c r="B223" s="198"/>
      <c r="C223" s="198"/>
      <c r="D223" s="198"/>
      <c r="E223" s="198"/>
      <c r="F223" s="198"/>
      <c r="G223" s="198"/>
      <c r="H223" s="198"/>
      <c r="I223" s="201"/>
    </row>
    <row r="224" spans="1:9" x14ac:dyDescent="0.4">
      <c r="A224" s="198"/>
      <c r="B224" s="198"/>
      <c r="C224" s="198"/>
      <c r="D224" s="198"/>
      <c r="E224" s="198"/>
      <c r="F224" s="198"/>
      <c r="G224" s="198"/>
      <c r="H224" s="198"/>
      <c r="I224" s="201"/>
    </row>
    <row r="225" spans="1:9" x14ac:dyDescent="0.4">
      <c r="A225" s="198"/>
      <c r="B225" s="198"/>
      <c r="C225" s="198"/>
      <c r="D225" s="198"/>
      <c r="E225" s="198"/>
      <c r="F225" s="198"/>
      <c r="G225" s="198"/>
      <c r="H225" s="198"/>
      <c r="I225" s="201"/>
    </row>
    <row r="226" spans="1:9" x14ac:dyDescent="0.4">
      <c r="A226" s="198"/>
      <c r="B226" s="198"/>
      <c r="C226" s="198"/>
      <c r="D226" s="198"/>
      <c r="E226" s="198"/>
      <c r="F226" s="198"/>
      <c r="G226" s="198"/>
      <c r="H226" s="198"/>
      <c r="I226" s="201"/>
    </row>
    <row r="227" spans="1:9" x14ac:dyDescent="0.4">
      <c r="A227" s="198"/>
      <c r="B227" s="198"/>
      <c r="C227" s="198"/>
      <c r="D227" s="198"/>
      <c r="E227" s="198"/>
      <c r="F227" s="198"/>
      <c r="G227" s="198"/>
      <c r="H227" s="198"/>
      <c r="I227" s="201"/>
    </row>
    <row r="228" spans="1:9" x14ac:dyDescent="0.4">
      <c r="A228" s="198"/>
      <c r="B228" s="198"/>
      <c r="C228" s="198"/>
      <c r="D228" s="198"/>
      <c r="E228" s="198"/>
      <c r="F228" s="198"/>
      <c r="G228" s="198"/>
      <c r="H228" s="198"/>
      <c r="I228" s="201"/>
    </row>
    <row r="229" spans="1:9" x14ac:dyDescent="0.4">
      <c r="A229" s="198"/>
      <c r="B229" s="198"/>
      <c r="C229" s="198"/>
      <c r="D229" s="198"/>
      <c r="E229" s="198"/>
      <c r="F229" s="198"/>
      <c r="G229" s="198"/>
      <c r="H229" s="198"/>
      <c r="I229" s="201"/>
    </row>
    <row r="230" spans="1:9" x14ac:dyDescent="0.4">
      <c r="A230" s="198"/>
      <c r="B230" s="198"/>
      <c r="C230" s="198"/>
      <c r="D230" s="198"/>
      <c r="E230" s="198"/>
      <c r="F230" s="198"/>
      <c r="G230" s="198"/>
      <c r="H230" s="198"/>
      <c r="I230" s="201"/>
    </row>
    <row r="231" spans="1:9" x14ac:dyDescent="0.4">
      <c r="A231" s="198"/>
      <c r="B231" s="198"/>
      <c r="C231" s="198"/>
      <c r="D231" s="198"/>
      <c r="E231" s="198"/>
      <c r="F231" s="198"/>
      <c r="G231" s="198"/>
      <c r="H231" s="198"/>
      <c r="I231" s="201"/>
    </row>
    <row r="232" spans="1:9" x14ac:dyDescent="0.4">
      <c r="A232" s="198"/>
      <c r="B232" s="198"/>
      <c r="C232" s="198"/>
      <c r="D232" s="198"/>
      <c r="E232" s="198"/>
      <c r="F232" s="198"/>
      <c r="G232" s="198"/>
      <c r="H232" s="198"/>
      <c r="I232" s="201"/>
    </row>
    <row r="233" spans="1:9" x14ac:dyDescent="0.4">
      <c r="A233" s="198"/>
      <c r="B233" s="198"/>
      <c r="C233" s="198"/>
      <c r="D233" s="198"/>
      <c r="E233" s="198"/>
      <c r="F233" s="198"/>
      <c r="G233" s="198"/>
      <c r="H233" s="198"/>
      <c r="I233" s="201"/>
    </row>
    <row r="234" spans="1:9" x14ac:dyDescent="0.4">
      <c r="A234" s="198"/>
      <c r="B234" s="198"/>
      <c r="C234" s="198"/>
      <c r="D234" s="198"/>
      <c r="E234" s="198"/>
      <c r="F234" s="198"/>
      <c r="G234" s="198"/>
      <c r="H234" s="198"/>
      <c r="I234" s="201"/>
    </row>
    <row r="235" spans="1:9" x14ac:dyDescent="0.4">
      <c r="A235" s="198"/>
      <c r="B235" s="198"/>
      <c r="C235" s="198"/>
      <c r="D235" s="198"/>
      <c r="E235" s="198"/>
      <c r="F235" s="198"/>
      <c r="G235" s="198"/>
      <c r="H235" s="198"/>
      <c r="I235" s="201"/>
    </row>
    <row r="236" spans="1:9" x14ac:dyDescent="0.4">
      <c r="A236" s="198"/>
      <c r="B236" s="198"/>
      <c r="C236" s="198"/>
      <c r="D236" s="198"/>
      <c r="E236" s="198"/>
      <c r="F236" s="198"/>
      <c r="G236" s="198"/>
      <c r="H236" s="198"/>
      <c r="I236" s="201"/>
    </row>
    <row r="237" spans="1:9" x14ac:dyDescent="0.4">
      <c r="A237" s="198"/>
      <c r="B237" s="198"/>
      <c r="C237" s="198"/>
      <c r="D237" s="198"/>
      <c r="E237" s="198"/>
      <c r="F237" s="198"/>
      <c r="G237" s="198"/>
      <c r="H237" s="198"/>
      <c r="I237" s="201"/>
    </row>
    <row r="238" spans="1:9" x14ac:dyDescent="0.4">
      <c r="A238" s="198"/>
      <c r="B238" s="198"/>
      <c r="C238" s="198"/>
      <c r="D238" s="198"/>
      <c r="E238" s="198"/>
      <c r="F238" s="198"/>
      <c r="G238" s="198"/>
      <c r="H238" s="198"/>
      <c r="I238" s="201"/>
    </row>
    <row r="239" spans="1:9" x14ac:dyDescent="0.4">
      <c r="A239" s="198"/>
      <c r="B239" s="198"/>
      <c r="C239" s="198"/>
      <c r="D239" s="198"/>
      <c r="E239" s="198"/>
      <c r="F239" s="198"/>
      <c r="G239" s="198"/>
      <c r="H239" s="198"/>
      <c r="I239" s="201"/>
    </row>
    <row r="240" spans="1:9" x14ac:dyDescent="0.4">
      <c r="A240" s="198"/>
      <c r="B240" s="198"/>
      <c r="C240" s="198"/>
      <c r="D240" s="198"/>
      <c r="E240" s="198"/>
      <c r="F240" s="198"/>
      <c r="G240" s="198"/>
      <c r="H240" s="198"/>
      <c r="I240" s="201"/>
    </row>
    <row r="241" spans="1:9" x14ac:dyDescent="0.4">
      <c r="A241" s="198"/>
      <c r="B241" s="198"/>
      <c r="C241" s="198"/>
      <c r="D241" s="198"/>
      <c r="E241" s="198"/>
      <c r="F241" s="198"/>
      <c r="G241" s="198"/>
      <c r="H241" s="198"/>
      <c r="I241" s="201"/>
    </row>
    <row r="242" spans="1:9" x14ac:dyDescent="0.4">
      <c r="A242" s="198"/>
      <c r="B242" s="198"/>
      <c r="C242" s="198"/>
      <c r="D242" s="198"/>
      <c r="E242" s="198"/>
      <c r="F242" s="198"/>
      <c r="G242" s="198"/>
      <c r="H242" s="198"/>
      <c r="I242" s="201"/>
    </row>
    <row r="243" spans="1:9" x14ac:dyDescent="0.4">
      <c r="A243" s="198"/>
      <c r="B243" s="198"/>
      <c r="C243" s="198"/>
      <c r="D243" s="198"/>
      <c r="E243" s="198"/>
      <c r="F243" s="198"/>
      <c r="G243" s="198"/>
      <c r="H243" s="198"/>
      <c r="I243" s="201"/>
    </row>
    <row r="244" spans="1:9" x14ac:dyDescent="0.4">
      <c r="A244" s="198"/>
      <c r="B244" s="198"/>
      <c r="C244" s="198"/>
      <c r="D244" s="198"/>
      <c r="E244" s="198"/>
      <c r="F244" s="198"/>
      <c r="G244" s="198"/>
      <c r="H244" s="198"/>
      <c r="I244" s="201"/>
    </row>
    <row r="245" spans="1:9" x14ac:dyDescent="0.4">
      <c r="A245" s="198"/>
      <c r="B245" s="198"/>
      <c r="C245" s="198"/>
      <c r="D245" s="198"/>
      <c r="E245" s="198"/>
      <c r="F245" s="198"/>
      <c r="G245" s="198"/>
      <c r="H245" s="198"/>
      <c r="I245" s="201"/>
    </row>
    <row r="246" spans="1:9" x14ac:dyDescent="0.4">
      <c r="A246" s="198"/>
      <c r="B246" s="198"/>
      <c r="C246" s="198"/>
      <c r="D246" s="198"/>
      <c r="E246" s="198"/>
      <c r="F246" s="198"/>
      <c r="G246" s="198"/>
      <c r="H246" s="198"/>
      <c r="I246" s="201"/>
    </row>
    <row r="247" spans="1:9" x14ac:dyDescent="0.4">
      <c r="A247" s="198"/>
      <c r="B247" s="198"/>
      <c r="C247" s="198"/>
      <c r="D247" s="198"/>
      <c r="E247" s="198"/>
      <c r="F247" s="198"/>
      <c r="G247" s="198"/>
      <c r="H247" s="198"/>
      <c r="I247" s="201"/>
    </row>
    <row r="248" spans="1:9" x14ac:dyDescent="0.4">
      <c r="A248" s="198"/>
      <c r="B248" s="198"/>
      <c r="C248" s="198"/>
      <c r="D248" s="198"/>
      <c r="E248" s="198"/>
      <c r="F248" s="198"/>
      <c r="G248" s="198"/>
      <c r="H248" s="198"/>
      <c r="I248" s="201"/>
    </row>
    <row r="249" spans="1:9" x14ac:dyDescent="0.4">
      <c r="A249" s="198"/>
      <c r="B249" s="198"/>
      <c r="C249" s="198"/>
      <c r="D249" s="198"/>
      <c r="E249" s="198"/>
      <c r="F249" s="198"/>
      <c r="G249" s="198"/>
      <c r="H249" s="198"/>
      <c r="I249" s="201"/>
    </row>
    <row r="250" spans="1:9" x14ac:dyDescent="0.4">
      <c r="A250" s="198"/>
      <c r="B250" s="198"/>
      <c r="C250" s="198"/>
      <c r="D250" s="198"/>
      <c r="E250" s="198"/>
      <c r="F250" s="198"/>
      <c r="G250" s="198"/>
      <c r="H250" s="198"/>
      <c r="I250" s="201"/>
    </row>
    <row r="251" spans="1:9" x14ac:dyDescent="0.4">
      <c r="A251" s="198"/>
      <c r="B251" s="198"/>
      <c r="C251" s="198"/>
      <c r="D251" s="198"/>
      <c r="E251" s="198"/>
      <c r="F251" s="198"/>
      <c r="G251" s="198"/>
      <c r="H251" s="198"/>
      <c r="I251" s="201"/>
    </row>
    <row r="252" spans="1:9" x14ac:dyDescent="0.4">
      <c r="A252" s="198"/>
      <c r="B252" s="198"/>
      <c r="C252" s="198"/>
      <c r="D252" s="198"/>
      <c r="E252" s="198"/>
      <c r="F252" s="198"/>
      <c r="G252" s="198"/>
      <c r="H252" s="198"/>
      <c r="I252" s="201"/>
    </row>
    <row r="253" spans="1:9" x14ac:dyDescent="0.4">
      <c r="A253" s="198"/>
      <c r="B253" s="198"/>
      <c r="C253" s="198"/>
      <c r="D253" s="198"/>
      <c r="E253" s="198"/>
      <c r="F253" s="198"/>
      <c r="G253" s="198"/>
      <c r="H253" s="198"/>
      <c r="I253" s="201"/>
    </row>
    <row r="254" spans="1:9" x14ac:dyDescent="0.4">
      <c r="A254" s="198"/>
      <c r="B254" s="198"/>
      <c r="C254" s="198"/>
      <c r="D254" s="198"/>
      <c r="E254" s="198"/>
      <c r="F254" s="198"/>
      <c r="G254" s="198"/>
      <c r="H254" s="198"/>
      <c r="I254" s="201"/>
    </row>
    <row r="255" spans="1:9" x14ac:dyDescent="0.4">
      <c r="A255" s="198"/>
      <c r="B255" s="198"/>
      <c r="C255" s="198"/>
      <c r="D255" s="198"/>
      <c r="E255" s="198"/>
      <c r="F255" s="198"/>
      <c r="G255" s="198"/>
      <c r="H255" s="198"/>
      <c r="I255" s="201"/>
    </row>
    <row r="256" spans="1:9" x14ac:dyDescent="0.4">
      <c r="A256" s="198"/>
      <c r="B256" s="198"/>
      <c r="C256" s="198"/>
      <c r="D256" s="198"/>
      <c r="E256" s="198"/>
      <c r="F256" s="198"/>
      <c r="G256" s="198"/>
      <c r="H256" s="198"/>
      <c r="I256" s="201"/>
    </row>
    <row r="257" spans="1:9" x14ac:dyDescent="0.4">
      <c r="A257" s="198"/>
      <c r="B257" s="198"/>
      <c r="C257" s="198"/>
      <c r="D257" s="198"/>
      <c r="E257" s="198"/>
      <c r="F257" s="198"/>
      <c r="G257" s="198"/>
      <c r="H257" s="198"/>
      <c r="I257" s="201"/>
    </row>
    <row r="258" spans="1:9" x14ac:dyDescent="0.4">
      <c r="A258" s="198"/>
      <c r="B258" s="198"/>
      <c r="C258" s="198"/>
      <c r="D258" s="198"/>
      <c r="E258" s="198"/>
      <c r="F258" s="198"/>
      <c r="G258" s="198"/>
      <c r="H258" s="198"/>
      <c r="I258" s="201"/>
    </row>
    <row r="259" spans="1:9" x14ac:dyDescent="0.4">
      <c r="A259" s="198"/>
      <c r="B259" s="198"/>
      <c r="C259" s="198"/>
      <c r="D259" s="198"/>
      <c r="E259" s="198"/>
      <c r="F259" s="198"/>
      <c r="G259" s="198"/>
      <c r="H259" s="198"/>
      <c r="I259" s="201"/>
    </row>
    <row r="260" spans="1:9" x14ac:dyDescent="0.4">
      <c r="A260" s="198"/>
      <c r="B260" s="198"/>
      <c r="C260" s="198"/>
      <c r="D260" s="198"/>
      <c r="E260" s="198"/>
      <c r="F260" s="198"/>
      <c r="G260" s="198"/>
      <c r="H260" s="198"/>
      <c r="I260" s="201"/>
    </row>
    <row r="261" spans="1:9" x14ac:dyDescent="0.4">
      <c r="A261" s="198"/>
      <c r="B261" s="198"/>
      <c r="C261" s="198"/>
      <c r="D261" s="198"/>
      <c r="E261" s="198"/>
      <c r="F261" s="198"/>
      <c r="G261" s="198"/>
      <c r="H261" s="198"/>
      <c r="I261" s="201"/>
    </row>
    <row r="262" spans="1:9" x14ac:dyDescent="0.4">
      <c r="A262" s="198"/>
      <c r="B262" s="198"/>
      <c r="C262" s="198"/>
      <c r="D262" s="198"/>
      <c r="E262" s="198"/>
      <c r="F262" s="198"/>
      <c r="G262" s="198"/>
      <c r="H262" s="198"/>
      <c r="I262" s="201"/>
    </row>
    <row r="263" spans="1:9" x14ac:dyDescent="0.4">
      <c r="A263" s="198"/>
      <c r="B263" s="198"/>
      <c r="C263" s="198"/>
      <c r="D263" s="198"/>
      <c r="E263" s="198"/>
      <c r="F263" s="198"/>
      <c r="G263" s="198"/>
      <c r="H263" s="198"/>
      <c r="I263" s="201"/>
    </row>
  </sheetData>
  <mergeCells count="9">
    <mergeCell ref="B10:C10"/>
    <mergeCell ref="B13:C13"/>
    <mergeCell ref="B2:I2"/>
    <mergeCell ref="B6:C6"/>
    <mergeCell ref="B7:C7"/>
    <mergeCell ref="B8:C8"/>
    <mergeCell ref="B9:C9"/>
    <mergeCell ref="B11:C11"/>
    <mergeCell ref="B12:C12"/>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30A0-6E3D-D449-91AD-900978322CE0}">
  <dimension ref="A1"/>
  <sheetViews>
    <sheetView workbookViewId="0"/>
  </sheetViews>
  <sheetFormatPr defaultColWidth="10.85546875" defaultRowHeight="13.15" x14ac:dyDescent="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4A87"/>
    <pageSetUpPr fitToPage="1"/>
  </sheetPr>
  <dimension ref="A1:J98"/>
  <sheetViews>
    <sheetView topLeftCell="A24" workbookViewId="0">
      <selection sqref="A1:G1"/>
    </sheetView>
  </sheetViews>
  <sheetFormatPr defaultColWidth="9.2109375" defaultRowHeight="13.15" x14ac:dyDescent="0.4"/>
  <cols>
    <col min="1" max="1" width="2.78515625" style="125" customWidth="1"/>
    <col min="2" max="2" width="49.42578125" style="125" customWidth="1"/>
    <col min="3" max="3" width="27.2109375" style="125" customWidth="1"/>
    <col min="4" max="4" width="13.78515625" style="125" customWidth="1"/>
    <col min="5" max="5" width="21.42578125" style="125" customWidth="1"/>
    <col min="6" max="6" width="51.42578125" style="125" customWidth="1"/>
    <col min="7" max="7" width="25.78515625" style="125" customWidth="1"/>
    <col min="8" max="8" width="12.2109375" style="125" customWidth="1"/>
    <col min="9" max="16384" width="9.2109375" style="125"/>
  </cols>
  <sheetData>
    <row r="1" spans="1:10" ht="37.15" x14ac:dyDescent="0.4">
      <c r="A1" s="465" t="s">
        <v>242</v>
      </c>
      <c r="B1" s="465"/>
      <c r="C1" s="465"/>
      <c r="D1" s="465"/>
      <c r="E1" s="465"/>
      <c r="F1" s="465"/>
      <c r="G1" s="465"/>
    </row>
    <row r="2" spans="1:10" ht="15" x14ac:dyDescent="0.4">
      <c r="B2" s="134" t="s">
        <v>130</v>
      </c>
      <c r="C2" s="149"/>
      <c r="D2" s="464" t="s">
        <v>131</v>
      </c>
      <c r="E2" s="464"/>
    </row>
    <row r="3" spans="1:10" ht="15.4" x14ac:dyDescent="0.4">
      <c r="B3" s="134" t="s">
        <v>134</v>
      </c>
      <c r="C3" s="150"/>
      <c r="D3" s="464" t="s">
        <v>132</v>
      </c>
      <c r="E3" s="464"/>
    </row>
    <row r="4" spans="1:10" ht="15" x14ac:dyDescent="0.4">
      <c r="B4" s="134" t="s">
        <v>135</v>
      </c>
      <c r="C4" s="149"/>
      <c r="D4" s="464" t="s">
        <v>133</v>
      </c>
      <c r="E4" s="464"/>
    </row>
    <row r="5" spans="1:10" ht="15" x14ac:dyDescent="0.4">
      <c r="B5" s="134" t="s">
        <v>136</v>
      </c>
      <c r="C5" s="151"/>
      <c r="D5" s="464" t="s">
        <v>346</v>
      </c>
      <c r="E5" s="464"/>
      <c r="F5" s="131"/>
    </row>
    <row r="6" spans="1:10" ht="15" x14ac:dyDescent="0.4">
      <c r="B6" s="134"/>
      <c r="D6" s="134"/>
    </row>
    <row r="7" spans="1:10" ht="13.5" thickBot="1" x14ac:dyDescent="0.45">
      <c r="B7" s="127" t="s">
        <v>137</v>
      </c>
      <c r="C7" s="127"/>
      <c r="F7" s="127" t="s">
        <v>138</v>
      </c>
      <c r="G7" s="127"/>
    </row>
    <row r="8" spans="1:10" ht="13.5" thickTop="1" x14ac:dyDescent="0.4">
      <c r="B8" s="9" t="s">
        <v>139</v>
      </c>
      <c r="C8" s="9" t="s">
        <v>193</v>
      </c>
      <c r="D8" s="9" t="s">
        <v>213</v>
      </c>
      <c r="E8" s="9" t="s">
        <v>214</v>
      </c>
      <c r="F8" s="9" t="s">
        <v>167</v>
      </c>
      <c r="G8" s="9" t="s">
        <v>160</v>
      </c>
      <c r="H8" s="9" t="s">
        <v>157</v>
      </c>
      <c r="I8" s="133"/>
      <c r="J8" s="133"/>
    </row>
    <row r="9" spans="1:10" x14ac:dyDescent="0.4">
      <c r="B9" s="130" t="s">
        <v>274</v>
      </c>
      <c r="C9" s="138"/>
      <c r="D9" s="300"/>
      <c r="E9" s="121"/>
      <c r="F9" s="130" t="s">
        <v>156</v>
      </c>
      <c r="G9" s="148"/>
      <c r="H9" s="148"/>
      <c r="I9" s="121"/>
      <c r="J9" s="121"/>
    </row>
    <row r="10" spans="1:10" x14ac:dyDescent="0.4">
      <c r="B10" s="130" t="s">
        <v>140</v>
      </c>
      <c r="C10" s="121"/>
      <c r="D10" s="136"/>
      <c r="E10" s="121"/>
      <c r="F10" s="130" t="s">
        <v>152</v>
      </c>
      <c r="G10" s="148"/>
      <c r="H10" s="148"/>
      <c r="I10" s="121"/>
      <c r="J10" s="121"/>
    </row>
    <row r="11" spans="1:10" x14ac:dyDescent="0.4">
      <c r="B11" s="130" t="s">
        <v>275</v>
      </c>
      <c r="C11" s="153"/>
      <c r="D11" s="139"/>
      <c r="E11" s="121"/>
      <c r="F11" s="130" t="s">
        <v>153</v>
      </c>
      <c r="G11" s="148"/>
      <c r="H11" s="148"/>
      <c r="I11" s="121"/>
      <c r="J11" s="121"/>
    </row>
    <row r="12" spans="1:10" x14ac:dyDescent="0.4">
      <c r="B12" s="130" t="s">
        <v>141</v>
      </c>
      <c r="C12" s="121"/>
      <c r="D12" s="139"/>
      <c r="E12" s="121"/>
      <c r="F12" s="130" t="s">
        <v>154</v>
      </c>
      <c r="G12" s="148"/>
      <c r="H12" s="148"/>
      <c r="I12" s="121"/>
      <c r="J12" s="121"/>
    </row>
    <row r="13" spans="1:10" x14ac:dyDescent="0.4">
      <c r="B13" s="130" t="s">
        <v>142</v>
      </c>
      <c r="C13" s="121"/>
      <c r="D13" s="139"/>
      <c r="E13" s="121"/>
      <c r="F13" s="130" t="s">
        <v>155</v>
      </c>
      <c r="G13" s="148"/>
      <c r="H13" s="148"/>
      <c r="I13" s="121"/>
      <c r="J13" s="121"/>
    </row>
    <row r="14" spans="1:10" x14ac:dyDescent="0.4">
      <c r="B14" s="130" t="s">
        <v>143</v>
      </c>
      <c r="C14" s="121"/>
      <c r="D14" s="139"/>
      <c r="E14" s="121"/>
      <c r="F14" s="130" t="s">
        <v>158</v>
      </c>
      <c r="G14" s="148"/>
      <c r="H14" s="148"/>
      <c r="I14" s="121"/>
      <c r="J14" s="121"/>
    </row>
    <row r="15" spans="1:10" x14ac:dyDescent="0.4">
      <c r="B15" s="130" t="s">
        <v>144</v>
      </c>
      <c r="C15" s="121"/>
      <c r="D15" s="139"/>
      <c r="E15" s="121"/>
      <c r="F15" s="130" t="s">
        <v>159</v>
      </c>
      <c r="G15" s="148"/>
      <c r="H15" s="148"/>
      <c r="I15" s="121"/>
      <c r="J15" s="121"/>
    </row>
    <row r="16" spans="1:10" x14ac:dyDescent="0.4">
      <c r="B16" s="130" t="s">
        <v>145</v>
      </c>
      <c r="C16" s="121"/>
      <c r="D16" s="139"/>
      <c r="E16" s="121"/>
      <c r="F16" s="130" t="s">
        <v>185</v>
      </c>
      <c r="G16" s="148"/>
      <c r="H16" s="148"/>
      <c r="I16" s="121"/>
      <c r="J16" s="121"/>
    </row>
    <row r="17" spans="2:10" x14ac:dyDescent="0.4">
      <c r="B17" s="130" t="s">
        <v>146</v>
      </c>
      <c r="C17" s="121"/>
      <c r="D17" s="139"/>
      <c r="E17" s="121"/>
      <c r="F17" s="130" t="s">
        <v>249</v>
      </c>
      <c r="G17" s="148"/>
      <c r="H17" s="148"/>
      <c r="I17" s="121"/>
      <c r="J17" s="121"/>
    </row>
    <row r="18" spans="2:10" x14ac:dyDescent="0.4">
      <c r="B18" s="130" t="s">
        <v>147</v>
      </c>
      <c r="C18" s="121"/>
      <c r="D18" s="139"/>
      <c r="E18" s="121"/>
      <c r="F18" s="130"/>
      <c r="G18" s="148"/>
      <c r="H18" s="148"/>
      <c r="I18" s="130"/>
      <c r="J18" s="130"/>
    </row>
    <row r="19" spans="2:10" x14ac:dyDescent="0.4">
      <c r="B19" s="130" t="s">
        <v>31</v>
      </c>
      <c r="C19" s="121"/>
      <c r="E19" s="121">
        <f>SUBTOTAL(109,tblRealEstate20[Annual Value])</f>
        <v>0</v>
      </c>
      <c r="F19" s="130" t="s">
        <v>31</v>
      </c>
      <c r="G19" s="139">
        <f>SUBTOTAL(109,tblRealEstate20[Total Balance/Contract])</f>
        <v>0</v>
      </c>
      <c r="H19" s="139">
        <f>SUBTOTAL(109,tblRealEstate20[Monthly Payment])</f>
        <v>0</v>
      </c>
      <c r="I19" s="139"/>
      <c r="J19" s="139"/>
    </row>
    <row r="20" spans="2:10" ht="13.5" thickBot="1" x14ac:dyDescent="0.45">
      <c r="F20" s="132" t="s">
        <v>250</v>
      </c>
      <c r="G20" s="152">
        <f>tblRealEstate20[[#Totals],[Annual Value]]-tblRealEstate20[[#Totals],[Total Balance/Contract]]</f>
        <v>0</v>
      </c>
    </row>
    <row r="21" spans="2:10" s="145" customFormat="1" ht="39" customHeight="1" thickTop="1" x14ac:dyDescent="0.4">
      <c r="B21" s="144" t="s">
        <v>148</v>
      </c>
      <c r="C21" s="144" t="s">
        <v>149</v>
      </c>
      <c r="D21" s="144" t="s">
        <v>150</v>
      </c>
      <c r="E21" s="144" t="s">
        <v>195</v>
      </c>
      <c r="F21" s="144" t="s">
        <v>151</v>
      </c>
      <c r="G21" s="144" t="s">
        <v>44</v>
      </c>
      <c r="H21" s="144" t="s">
        <v>164</v>
      </c>
      <c r="I21" s="144" t="s">
        <v>165</v>
      </c>
    </row>
    <row r="22" spans="2:10" x14ac:dyDescent="0.4">
      <c r="B22" s="131" t="s">
        <v>200</v>
      </c>
      <c r="C22" s="130"/>
      <c r="D22" s="130"/>
      <c r="E22" s="121"/>
      <c r="F22" s="130" t="s">
        <v>161</v>
      </c>
      <c r="G22" s="140" t="s">
        <v>162</v>
      </c>
      <c r="H22" s="121"/>
      <c r="I22" s="121"/>
    </row>
    <row r="23" spans="2:10" x14ac:dyDescent="0.4">
      <c r="B23" s="130" t="s">
        <v>190</v>
      </c>
      <c r="C23" s="131"/>
      <c r="D23" s="131"/>
      <c r="E23" s="121"/>
      <c r="F23" s="130" t="s">
        <v>152</v>
      </c>
      <c r="G23" s="140" t="s">
        <v>162</v>
      </c>
      <c r="H23" s="121"/>
      <c r="I23" s="121"/>
    </row>
    <row r="24" spans="2:10" x14ac:dyDescent="0.4">
      <c r="B24" s="130" t="s">
        <v>189</v>
      </c>
      <c r="C24" s="301"/>
      <c r="D24" s="131"/>
      <c r="E24" s="121"/>
      <c r="F24" s="130" t="s">
        <v>185</v>
      </c>
      <c r="H24" s="121"/>
      <c r="I24" s="121"/>
    </row>
    <row r="25" spans="2:10" x14ac:dyDescent="0.4">
      <c r="B25" s="130" t="s">
        <v>191</v>
      </c>
      <c r="C25" s="131"/>
      <c r="D25" s="131"/>
      <c r="E25" s="121"/>
      <c r="F25" s="130" t="s">
        <v>188</v>
      </c>
      <c r="H25" s="121"/>
      <c r="I25" s="121"/>
    </row>
    <row r="26" spans="2:10" x14ac:dyDescent="0.4">
      <c r="B26" s="130" t="s">
        <v>192</v>
      </c>
      <c r="C26" s="131"/>
      <c r="D26" s="131"/>
      <c r="E26" s="121"/>
      <c r="F26" s="130" t="s">
        <v>163</v>
      </c>
      <c r="H26" s="121"/>
      <c r="I26" s="121"/>
    </row>
    <row r="27" spans="2:10" x14ac:dyDescent="0.4">
      <c r="B27" s="130" t="s">
        <v>194</v>
      </c>
      <c r="C27" s="131"/>
      <c r="D27" s="131"/>
      <c r="E27" s="121"/>
      <c r="F27" s="130" t="s">
        <v>166</v>
      </c>
      <c r="H27" s="121"/>
      <c r="I27" s="121"/>
    </row>
    <row r="28" spans="2:10" x14ac:dyDescent="0.4">
      <c r="B28" s="131"/>
      <c r="C28" s="132" t="s">
        <v>199</v>
      </c>
      <c r="D28" s="135"/>
      <c r="E28" s="121"/>
      <c r="F28" s="130" t="s">
        <v>168</v>
      </c>
      <c r="H28" s="121"/>
      <c r="I28" s="121"/>
    </row>
    <row r="29" spans="2:10" x14ac:dyDescent="0.4">
      <c r="B29" s="130"/>
      <c r="C29" s="132" t="s">
        <v>196</v>
      </c>
      <c r="D29" s="135"/>
      <c r="E29" s="121"/>
      <c r="F29" s="130" t="s">
        <v>169</v>
      </c>
      <c r="H29" s="121"/>
      <c r="I29" s="121"/>
    </row>
    <row r="30" spans="2:10" x14ac:dyDescent="0.4">
      <c r="B30" s="130"/>
      <c r="C30" s="132" t="s">
        <v>198</v>
      </c>
      <c r="D30" s="135"/>
      <c r="E30" s="121"/>
      <c r="F30" s="130" t="s">
        <v>170</v>
      </c>
      <c r="H30" s="121"/>
      <c r="I30" s="121"/>
    </row>
    <row r="31" spans="2:10" x14ac:dyDescent="0.4">
      <c r="B31" s="131"/>
      <c r="C31" s="132" t="s">
        <v>197</v>
      </c>
      <c r="D31" s="135"/>
      <c r="E31" s="121"/>
      <c r="F31" s="130" t="s">
        <v>171</v>
      </c>
      <c r="H31" s="121"/>
      <c r="I31" s="121"/>
    </row>
    <row r="32" spans="2:10" x14ac:dyDescent="0.4">
      <c r="B32" s="131" t="s">
        <v>201</v>
      </c>
      <c r="C32" s="130"/>
      <c r="D32" s="130"/>
      <c r="E32" s="121"/>
      <c r="F32" s="130" t="s">
        <v>172</v>
      </c>
      <c r="H32" s="121"/>
      <c r="I32" s="121"/>
    </row>
    <row r="33" spans="2:9" x14ac:dyDescent="0.4">
      <c r="B33" s="130" t="s">
        <v>190</v>
      </c>
      <c r="C33" s="131"/>
      <c r="D33" s="131"/>
      <c r="E33" s="121"/>
      <c r="F33" s="130" t="s">
        <v>173</v>
      </c>
      <c r="H33" s="121"/>
      <c r="I33" s="121"/>
    </row>
    <row r="34" spans="2:9" x14ac:dyDescent="0.4">
      <c r="B34" s="130" t="s">
        <v>189</v>
      </c>
      <c r="C34" s="302" t="s">
        <v>42</v>
      </c>
      <c r="D34" s="131"/>
      <c r="E34" s="121"/>
      <c r="F34" s="130" t="s">
        <v>183</v>
      </c>
      <c r="H34" s="121"/>
      <c r="I34" s="121"/>
    </row>
    <row r="35" spans="2:9" x14ac:dyDescent="0.4">
      <c r="B35" s="130" t="s">
        <v>191</v>
      </c>
      <c r="C35" s="131"/>
      <c r="D35" s="131"/>
      <c r="E35" s="121"/>
      <c r="F35" s="130" t="s">
        <v>182</v>
      </c>
      <c r="H35" s="121"/>
      <c r="I35" s="121"/>
    </row>
    <row r="36" spans="2:9" x14ac:dyDescent="0.4">
      <c r="B36" s="130" t="s">
        <v>192</v>
      </c>
      <c r="C36" s="131"/>
      <c r="D36" s="131"/>
      <c r="E36" s="121"/>
      <c r="F36" s="130" t="s">
        <v>174</v>
      </c>
      <c r="H36" s="121"/>
      <c r="I36" s="121"/>
    </row>
    <row r="37" spans="2:9" x14ac:dyDescent="0.4">
      <c r="B37" s="130" t="s">
        <v>194</v>
      </c>
      <c r="C37" s="131"/>
      <c r="D37" s="131"/>
      <c r="E37" s="121"/>
      <c r="F37" s="130" t="s">
        <v>175</v>
      </c>
      <c r="H37" s="121"/>
      <c r="I37" s="121"/>
    </row>
    <row r="38" spans="2:9" x14ac:dyDescent="0.4">
      <c r="B38" s="131"/>
      <c r="C38" s="132" t="s">
        <v>199</v>
      </c>
      <c r="D38" s="135"/>
      <c r="E38" s="121"/>
      <c r="F38" s="130" t="s">
        <v>181</v>
      </c>
      <c r="H38" s="121"/>
      <c r="I38" s="121"/>
    </row>
    <row r="39" spans="2:9" x14ac:dyDescent="0.4">
      <c r="B39" s="130"/>
      <c r="C39" s="132" t="s">
        <v>196</v>
      </c>
      <c r="D39" s="135"/>
      <c r="E39" s="121"/>
      <c r="F39" s="130" t="s">
        <v>176</v>
      </c>
      <c r="H39" s="121"/>
      <c r="I39" s="121"/>
    </row>
    <row r="40" spans="2:9" x14ac:dyDescent="0.4">
      <c r="B40" s="130"/>
      <c r="C40" s="132" t="s">
        <v>198</v>
      </c>
      <c r="D40" s="135"/>
      <c r="E40" s="121"/>
      <c r="F40" s="130" t="s">
        <v>177</v>
      </c>
      <c r="H40" s="121"/>
      <c r="I40" s="121"/>
    </row>
    <row r="41" spans="2:9" x14ac:dyDescent="0.4">
      <c r="B41" s="131"/>
      <c r="C41" s="132" t="s">
        <v>197</v>
      </c>
      <c r="D41" s="135"/>
      <c r="E41" s="121"/>
      <c r="F41" s="130" t="s">
        <v>178</v>
      </c>
      <c r="H41" s="121"/>
      <c r="I41" s="121"/>
    </row>
    <row r="42" spans="2:9" x14ac:dyDescent="0.4">
      <c r="B42" s="131" t="s">
        <v>202</v>
      </c>
      <c r="C42" s="130"/>
      <c r="D42" s="130"/>
      <c r="E42" s="121"/>
      <c r="F42" s="130" t="s">
        <v>179</v>
      </c>
      <c r="H42" s="121"/>
      <c r="I42" s="121"/>
    </row>
    <row r="43" spans="2:9" x14ac:dyDescent="0.4">
      <c r="B43" s="130" t="s">
        <v>190</v>
      </c>
      <c r="C43" s="131"/>
      <c r="D43" s="131"/>
      <c r="E43" s="121"/>
      <c r="F43" s="130" t="s">
        <v>180</v>
      </c>
      <c r="H43" s="121"/>
      <c r="I43" s="121"/>
    </row>
    <row r="44" spans="2:9" x14ac:dyDescent="0.4">
      <c r="B44" s="130" t="s">
        <v>189</v>
      </c>
      <c r="C44" s="131"/>
      <c r="D44" s="131"/>
      <c r="E44" s="121"/>
      <c r="F44" s="130" t="s">
        <v>184</v>
      </c>
      <c r="H44" s="121"/>
      <c r="I44" s="121"/>
    </row>
    <row r="45" spans="2:9" x14ac:dyDescent="0.4">
      <c r="B45" s="130" t="s">
        <v>191</v>
      </c>
      <c r="C45" s="131"/>
      <c r="D45" s="131"/>
      <c r="E45" s="121"/>
      <c r="F45" s="130" t="s">
        <v>186</v>
      </c>
      <c r="G45" s="141" t="s">
        <v>187</v>
      </c>
      <c r="H45" s="121"/>
      <c r="I45" s="121"/>
    </row>
    <row r="46" spans="2:9" x14ac:dyDescent="0.4">
      <c r="B46" s="130" t="s">
        <v>192</v>
      </c>
      <c r="C46" s="131"/>
      <c r="D46" s="131"/>
      <c r="E46" s="121"/>
      <c r="F46" s="130" t="s">
        <v>31</v>
      </c>
      <c r="H46" s="121"/>
      <c r="I46" s="121"/>
    </row>
    <row r="47" spans="2:9" x14ac:dyDescent="0.4">
      <c r="B47" s="130" t="s">
        <v>194</v>
      </c>
      <c r="C47" s="131"/>
      <c r="D47" s="131"/>
      <c r="E47" s="121"/>
      <c r="F47" s="137"/>
      <c r="H47" s="137"/>
    </row>
    <row r="48" spans="2:9" x14ac:dyDescent="0.4">
      <c r="B48" s="131"/>
      <c r="C48" s="132" t="s">
        <v>199</v>
      </c>
      <c r="D48" s="135"/>
      <c r="E48" s="121"/>
      <c r="F48" s="128" t="s">
        <v>210</v>
      </c>
      <c r="H48" s="129" t="s">
        <v>46</v>
      </c>
    </row>
    <row r="49" spans="2:8" x14ac:dyDescent="0.4">
      <c r="B49" s="130"/>
      <c r="C49" s="132" t="s">
        <v>196</v>
      </c>
      <c r="D49" s="135"/>
      <c r="E49" s="121"/>
      <c r="F49" s="130" t="s">
        <v>211</v>
      </c>
      <c r="H49" s="121"/>
    </row>
    <row r="50" spans="2:8" x14ac:dyDescent="0.4">
      <c r="B50" s="130"/>
      <c r="C50" s="132" t="s">
        <v>198</v>
      </c>
      <c r="D50" s="135"/>
      <c r="E50" s="121"/>
      <c r="F50" s="130" t="s">
        <v>212</v>
      </c>
      <c r="H50" s="121"/>
    </row>
    <row r="51" spans="2:8" x14ac:dyDescent="0.4">
      <c r="B51" s="131"/>
      <c r="C51" s="132" t="s">
        <v>197</v>
      </c>
      <c r="D51" s="135"/>
      <c r="E51" s="121"/>
      <c r="F51" s="130" t="s">
        <v>212</v>
      </c>
      <c r="H51" s="121"/>
    </row>
    <row r="52" spans="2:8" x14ac:dyDescent="0.4">
      <c r="B52" s="131" t="s">
        <v>203</v>
      </c>
      <c r="C52" s="142" t="s">
        <v>204</v>
      </c>
      <c r="D52" s="130" t="s">
        <v>205</v>
      </c>
      <c r="E52" s="143" t="s">
        <v>206</v>
      </c>
      <c r="F52" s="130" t="s">
        <v>31</v>
      </c>
      <c r="H52" s="121"/>
    </row>
    <row r="53" spans="2:8" x14ac:dyDescent="0.4">
      <c r="B53" s="130" t="s">
        <v>6</v>
      </c>
      <c r="C53" s="130"/>
      <c r="D53" s="130"/>
      <c r="E53" s="121"/>
    </row>
    <row r="54" spans="2:8" x14ac:dyDescent="0.4">
      <c r="B54" s="130" t="s">
        <v>207</v>
      </c>
      <c r="C54" s="130"/>
      <c r="D54" s="130"/>
      <c r="E54" s="121"/>
      <c r="F54" s="128" t="s">
        <v>38</v>
      </c>
      <c r="H54" s="129" t="s">
        <v>46</v>
      </c>
    </row>
    <row r="55" spans="2:8" x14ac:dyDescent="0.4">
      <c r="B55" s="130" t="s">
        <v>208</v>
      </c>
      <c r="C55" s="130"/>
      <c r="D55" s="130"/>
      <c r="E55" s="121"/>
      <c r="F55" s="130" t="s">
        <v>121</v>
      </c>
      <c r="H55" s="121"/>
    </row>
    <row r="56" spans="2:8" x14ac:dyDescent="0.4">
      <c r="B56" s="130" t="s">
        <v>209</v>
      </c>
      <c r="C56" s="131"/>
      <c r="D56" s="131"/>
      <c r="E56" s="121"/>
      <c r="F56" s="130" t="s">
        <v>119</v>
      </c>
      <c r="H56" s="121"/>
    </row>
    <row r="57" spans="2:8" x14ac:dyDescent="0.4">
      <c r="B57" s="131"/>
      <c r="C57" s="131"/>
      <c r="D57" s="131"/>
      <c r="E57" s="121"/>
      <c r="F57" s="130" t="s">
        <v>31</v>
      </c>
      <c r="H57" s="121"/>
    </row>
    <row r="58" spans="2:8" x14ac:dyDescent="0.4">
      <c r="B58" s="131"/>
      <c r="C58" s="131"/>
      <c r="D58" s="131"/>
      <c r="E58" s="121"/>
    </row>
    <row r="75" spans="4:4" x14ac:dyDescent="0.4">
      <c r="D75" s="137"/>
    </row>
    <row r="83" spans="2:4" x14ac:dyDescent="0.4">
      <c r="B83" s="137"/>
      <c r="C83" s="137"/>
      <c r="D83" s="137"/>
    </row>
    <row r="84" spans="2:4" x14ac:dyDescent="0.4">
      <c r="B84" s="128"/>
      <c r="C84" s="129"/>
    </row>
    <row r="85" spans="2:4" x14ac:dyDescent="0.4">
      <c r="B85" s="130"/>
      <c r="C85" s="121"/>
    </row>
    <row r="86" spans="2:4" x14ac:dyDescent="0.4">
      <c r="B86" s="130"/>
      <c r="C86" s="121"/>
    </row>
    <row r="87" spans="2:4" x14ac:dyDescent="0.4">
      <c r="B87" s="130"/>
      <c r="C87" s="121"/>
    </row>
    <row r="88" spans="2:4" x14ac:dyDescent="0.4">
      <c r="B88" s="130"/>
      <c r="C88" s="121"/>
    </row>
    <row r="89" spans="2:4" x14ac:dyDescent="0.4">
      <c r="B89" s="130"/>
      <c r="C89" s="121"/>
    </row>
    <row r="90" spans="2:4" x14ac:dyDescent="0.4">
      <c r="B90" s="137"/>
      <c r="C90" s="137"/>
      <c r="D90" s="137"/>
    </row>
    <row r="91" spans="2:4" x14ac:dyDescent="0.4">
      <c r="B91" s="128"/>
      <c r="C91" s="129"/>
    </row>
    <row r="92" spans="2:4" x14ac:dyDescent="0.4">
      <c r="B92" s="130"/>
      <c r="C92" s="121"/>
    </row>
    <row r="93" spans="2:4" x14ac:dyDescent="0.4">
      <c r="B93" s="130"/>
      <c r="C93" s="121"/>
    </row>
    <row r="94" spans="2:4" x14ac:dyDescent="0.4">
      <c r="B94" s="130"/>
      <c r="C94" s="121"/>
    </row>
    <row r="95" spans="2:4" x14ac:dyDescent="0.4">
      <c r="B95" s="137"/>
      <c r="C95" s="137"/>
      <c r="D95" s="137"/>
    </row>
    <row r="96" spans="2:4" x14ac:dyDescent="0.4">
      <c r="B96" s="122"/>
      <c r="C96" s="124"/>
      <c r="D96" s="123"/>
    </row>
    <row r="97" spans="2:4" x14ac:dyDescent="0.4">
      <c r="B97" s="137"/>
      <c r="C97" s="137"/>
      <c r="D97" s="137"/>
    </row>
    <row r="98" spans="2:4" x14ac:dyDescent="0.4">
      <c r="B98" s="122"/>
      <c r="C98" s="124"/>
      <c r="D98" s="123"/>
    </row>
  </sheetData>
  <mergeCells count="5">
    <mergeCell ref="D2:E2"/>
    <mergeCell ref="D3:E3"/>
    <mergeCell ref="D4:E4"/>
    <mergeCell ref="A1:G1"/>
    <mergeCell ref="D5:E5"/>
  </mergeCells>
  <pageMargins left="0.25" right="0.25" top="0.75" bottom="0.75" header="0.3" footer="0.3"/>
  <pageSetup scale="56" fitToHeight="0"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5369-C592-6B44-B133-67B7E240B0D0}">
  <dimension ref="A1:J24"/>
  <sheetViews>
    <sheetView topLeftCell="B1" workbookViewId="0">
      <selection activeCell="C15" sqref="C15:I21"/>
    </sheetView>
  </sheetViews>
  <sheetFormatPr defaultColWidth="10.85546875" defaultRowHeight="13.15" x14ac:dyDescent="0.4"/>
  <cols>
    <col min="1" max="1" width="2.78515625" customWidth="1"/>
    <col min="2" max="2" width="61" customWidth="1"/>
    <col min="3" max="5" width="21" customWidth="1"/>
    <col min="6" max="6" width="21.78515625" customWidth="1"/>
    <col min="7" max="7" width="21.2109375" customWidth="1"/>
    <col min="8" max="8" width="22.5703125" customWidth="1"/>
    <col min="9" max="9" width="27.42578125" customWidth="1"/>
    <col min="10" max="10" width="26.2109375" customWidth="1"/>
  </cols>
  <sheetData>
    <row r="1" spans="1:10" ht="42" x14ac:dyDescent="0.4">
      <c r="A1" s="309"/>
      <c r="B1" s="310" t="s">
        <v>368</v>
      </c>
      <c r="C1" s="311" t="s">
        <v>406</v>
      </c>
      <c r="D1" s="311" t="s">
        <v>408</v>
      </c>
      <c r="E1" s="311" t="s">
        <v>409</v>
      </c>
      <c r="F1" s="311" t="s">
        <v>410</v>
      </c>
      <c r="G1" s="311" t="s">
        <v>425</v>
      </c>
      <c r="H1" s="311" t="s">
        <v>407</v>
      </c>
      <c r="I1" s="311" t="s">
        <v>370</v>
      </c>
      <c r="J1" s="245"/>
    </row>
    <row r="2" spans="1:10" ht="21.4" thickBot="1" x14ac:dyDescent="0.45">
      <c r="A2" s="245"/>
      <c r="B2" s="312" t="s">
        <v>371</v>
      </c>
      <c r="C2" s="245"/>
      <c r="D2" s="245"/>
      <c r="E2" s="245"/>
      <c r="F2" s="245"/>
      <c r="G2" s="245"/>
      <c r="H2" s="245"/>
      <c r="I2" s="245"/>
      <c r="J2" s="245"/>
    </row>
    <row r="3" spans="1:10" ht="26.25" thickTop="1" thickBot="1" x14ac:dyDescent="0.7">
      <c r="A3" s="245"/>
      <c r="B3" s="313"/>
      <c r="C3" s="314" t="s">
        <v>369</v>
      </c>
      <c r="D3" s="315" t="s">
        <v>423</v>
      </c>
      <c r="E3" s="316" t="s">
        <v>412</v>
      </c>
      <c r="F3" s="317" t="s">
        <v>424</v>
      </c>
      <c r="G3" s="318" t="s">
        <v>425</v>
      </c>
      <c r="H3" s="319" t="s">
        <v>407</v>
      </c>
      <c r="I3" s="436" t="s">
        <v>426</v>
      </c>
      <c r="J3" s="320"/>
    </row>
    <row r="4" spans="1:10" ht="21.4" thickTop="1" x14ac:dyDescent="0.65">
      <c r="A4" s="245"/>
      <c r="B4" s="321" t="s">
        <v>372</v>
      </c>
      <c r="C4" s="322"/>
      <c r="D4" s="323"/>
      <c r="E4" s="324"/>
      <c r="F4" s="325"/>
      <c r="G4" s="326"/>
      <c r="H4" s="327"/>
      <c r="I4" s="432"/>
      <c r="J4" s="320"/>
    </row>
    <row r="5" spans="1:10" ht="21" x14ac:dyDescent="0.65">
      <c r="A5" s="245"/>
      <c r="B5" s="321" t="s">
        <v>371</v>
      </c>
      <c r="C5" s="328"/>
      <c r="D5" s="329"/>
      <c r="E5" s="330"/>
      <c r="F5" s="331"/>
      <c r="G5" s="332"/>
      <c r="H5" s="333"/>
      <c r="I5" s="437"/>
      <c r="J5" s="320"/>
    </row>
    <row r="6" spans="1:10" ht="21" x14ac:dyDescent="0.65">
      <c r="A6" s="245"/>
      <c r="B6" s="321" t="s">
        <v>373</v>
      </c>
      <c r="C6" s="334"/>
      <c r="D6" s="335"/>
      <c r="E6" s="336"/>
      <c r="F6" s="337"/>
      <c r="G6" s="338"/>
      <c r="H6" s="339"/>
      <c r="I6" s="433"/>
      <c r="J6" s="320"/>
    </row>
    <row r="7" spans="1:10" ht="21" x14ac:dyDescent="0.65">
      <c r="A7" s="245"/>
      <c r="B7" s="321" t="s">
        <v>374</v>
      </c>
      <c r="C7" s="340"/>
      <c r="D7" s="341"/>
      <c r="E7" s="342"/>
      <c r="F7" s="343"/>
      <c r="G7" s="344"/>
      <c r="H7" s="345"/>
      <c r="I7" s="438"/>
      <c r="J7" s="320"/>
    </row>
    <row r="8" spans="1:10" ht="21" x14ac:dyDescent="0.65">
      <c r="A8" s="245"/>
      <c r="B8" s="321" t="s">
        <v>375</v>
      </c>
      <c r="C8" s="346"/>
      <c r="D8" s="347"/>
      <c r="E8" s="348"/>
      <c r="F8" s="349"/>
      <c r="G8" s="350"/>
      <c r="H8" s="351"/>
      <c r="I8" s="434"/>
      <c r="J8" s="320"/>
    </row>
    <row r="9" spans="1:10" ht="21" x14ac:dyDescent="0.65">
      <c r="A9" s="245"/>
      <c r="B9" s="321" t="s">
        <v>376</v>
      </c>
      <c r="C9" s="352"/>
      <c r="D9" s="362"/>
      <c r="E9" s="363"/>
      <c r="F9" s="355"/>
      <c r="G9" s="356"/>
      <c r="H9" s="364"/>
      <c r="I9" s="439"/>
      <c r="J9" s="320">
        <f>SUM(LoanComparisonInfo27[[#This Row],[Column2]:[Column5]])</f>
        <v>0</v>
      </c>
    </row>
    <row r="10" spans="1:10" ht="21" x14ac:dyDescent="0.65">
      <c r="A10" s="245"/>
      <c r="B10" s="321" t="s">
        <v>377</v>
      </c>
      <c r="C10" s="358"/>
      <c r="D10" s="381"/>
      <c r="E10" s="382"/>
      <c r="F10" s="359"/>
      <c r="G10" s="360"/>
      <c r="H10" s="361"/>
      <c r="I10" s="435"/>
      <c r="J10" s="320"/>
    </row>
    <row r="11" spans="1:10" ht="21" x14ac:dyDescent="0.65">
      <c r="A11" s="245"/>
      <c r="B11" s="321" t="s">
        <v>378</v>
      </c>
      <c r="C11" s="352"/>
      <c r="D11" s="362"/>
      <c r="E11" s="363"/>
      <c r="F11" s="355"/>
      <c r="G11" s="356"/>
      <c r="H11" s="364"/>
      <c r="I11" s="439"/>
      <c r="J11" s="320"/>
    </row>
    <row r="12" spans="1:10" ht="21" x14ac:dyDescent="0.65">
      <c r="A12" s="245"/>
      <c r="B12" s="365" t="s">
        <v>379</v>
      </c>
      <c r="C12" s="366">
        <f>IFERROR(C5+C11,"")</f>
        <v>0</v>
      </c>
      <c r="D12" s="366">
        <f>IFERROR($D$5+D11,"")</f>
        <v>0</v>
      </c>
      <c r="E12" s="366">
        <f>IFERROR($E$5+E11,"")</f>
        <v>0</v>
      </c>
      <c r="F12" s="366">
        <f>IFERROR($F$5+F11,"")</f>
        <v>0</v>
      </c>
      <c r="G12" s="366">
        <f>IFERROR($G$5+G11,"")</f>
        <v>0</v>
      </c>
      <c r="H12" s="366">
        <f>IFERROR($H$5+H11,"")</f>
        <v>0</v>
      </c>
      <c r="I12" s="367"/>
      <c r="J12" s="367"/>
    </row>
    <row r="13" spans="1:10" ht="21.4" thickBot="1" x14ac:dyDescent="0.45">
      <c r="A13" s="245"/>
      <c r="B13" s="312" t="s">
        <v>380</v>
      </c>
      <c r="C13" s="245"/>
      <c r="D13" s="245"/>
      <c r="E13" s="245"/>
      <c r="F13" s="245"/>
      <c r="G13" s="245"/>
      <c r="H13" s="245"/>
      <c r="I13" s="245"/>
      <c r="J13" s="245"/>
    </row>
    <row r="14" spans="1:10" ht="26.25" thickTop="1" thickBot="1" x14ac:dyDescent="0.55000000000000004">
      <c r="A14" s="245"/>
      <c r="B14" s="313"/>
      <c r="C14" s="314" t="str">
        <f t="shared" ref="C14:I14" si="0">C3</f>
        <v>Ecommunity</v>
      </c>
      <c r="D14" s="315" t="str">
        <f t="shared" si="0"/>
        <v>StartUp Kansas I</v>
      </c>
      <c r="E14" s="316" t="str">
        <f t="shared" si="0"/>
        <v>StartUp Kansas II</v>
      </c>
      <c r="F14" s="317" t="str">
        <f t="shared" si="0"/>
        <v>W&amp;M Multiplier</v>
      </c>
      <c r="G14" s="318" t="str">
        <f t="shared" si="0"/>
        <v>MCAC</v>
      </c>
      <c r="H14" s="319" t="str">
        <f t="shared" si="0"/>
        <v>IWW</v>
      </c>
      <c r="I14" s="436" t="str">
        <f t="shared" si="0"/>
        <v>Bank</v>
      </c>
      <c r="J14" s="255"/>
    </row>
    <row r="15" spans="1:10" ht="21.4" thickTop="1" x14ac:dyDescent="0.4">
      <c r="A15" s="245"/>
      <c r="B15" s="321" t="s">
        <v>381</v>
      </c>
      <c r="C15" s="368"/>
      <c r="D15" s="369"/>
      <c r="E15" s="370"/>
      <c r="F15" s="371"/>
      <c r="G15" s="372"/>
      <c r="H15" s="373"/>
      <c r="I15" s="441"/>
      <c r="J15" s="245"/>
    </row>
    <row r="16" spans="1:10" ht="21" x14ac:dyDescent="0.4">
      <c r="A16" s="245"/>
      <c r="B16" s="321" t="s">
        <v>373</v>
      </c>
      <c r="C16" s="334"/>
      <c r="D16" s="374"/>
      <c r="E16" s="375"/>
      <c r="F16" s="337"/>
      <c r="G16" s="376"/>
      <c r="H16" s="339"/>
      <c r="I16" s="433"/>
      <c r="J16" s="245"/>
    </row>
    <row r="17" spans="1:10" ht="21" x14ac:dyDescent="0.4">
      <c r="A17" s="245"/>
      <c r="B17" s="321" t="s">
        <v>374</v>
      </c>
      <c r="C17" s="340"/>
      <c r="D17" s="341"/>
      <c r="E17" s="342"/>
      <c r="F17" s="343"/>
      <c r="G17" s="344"/>
      <c r="H17" s="345"/>
      <c r="I17" s="438"/>
      <c r="J17" s="245"/>
    </row>
    <row r="18" spans="1:10" ht="21" x14ac:dyDescent="0.4">
      <c r="A18" s="245"/>
      <c r="B18" s="321" t="s">
        <v>375</v>
      </c>
      <c r="C18" s="346"/>
      <c r="D18" s="377"/>
      <c r="E18" s="378"/>
      <c r="F18" s="349"/>
      <c r="G18" s="350"/>
      <c r="H18" s="351"/>
      <c r="I18" s="434"/>
      <c r="J18" s="245"/>
    </row>
    <row r="19" spans="1:10" ht="21" x14ac:dyDescent="0.55000000000000004">
      <c r="A19" s="245"/>
      <c r="B19" s="321" t="s">
        <v>376</v>
      </c>
      <c r="C19" s="352"/>
      <c r="D19" s="353"/>
      <c r="E19" s="354"/>
      <c r="F19" s="379"/>
      <c r="G19" s="356"/>
      <c r="H19" s="357"/>
      <c r="I19" s="440"/>
      <c r="J19" s="380">
        <f>LoanComparisonInfo328[[#This Row],[Column2]]+LoanComparisonInfo328[[#This Row],[Column3]]+E9+F9</f>
        <v>0</v>
      </c>
    </row>
    <row r="20" spans="1:10" ht="21" x14ac:dyDescent="0.4">
      <c r="A20" s="245"/>
      <c r="B20" s="321" t="s">
        <v>377</v>
      </c>
      <c r="C20" s="358"/>
      <c r="D20" s="381"/>
      <c r="E20" s="382"/>
      <c r="F20" s="359"/>
      <c r="G20" s="360"/>
      <c r="H20" s="361"/>
      <c r="I20" s="435"/>
      <c r="J20" s="245"/>
    </row>
    <row r="21" spans="1:10" ht="21" x14ac:dyDescent="0.4">
      <c r="A21" s="245"/>
      <c r="B21" s="321" t="s">
        <v>378</v>
      </c>
      <c r="C21" s="352"/>
      <c r="D21" s="362"/>
      <c r="E21" s="363"/>
      <c r="F21" s="355"/>
      <c r="G21" s="352"/>
      <c r="H21" s="364"/>
      <c r="I21" s="439"/>
      <c r="J21" s="245"/>
    </row>
    <row r="22" spans="1:10" ht="21" x14ac:dyDescent="0.65">
      <c r="A22" s="245"/>
      <c r="B22" s="365" t="s">
        <v>379</v>
      </c>
      <c r="C22" s="366"/>
      <c r="D22" s="366"/>
      <c r="E22" s="366"/>
      <c r="F22" s="366"/>
      <c r="G22" s="366"/>
      <c r="H22" s="366"/>
      <c r="I22" s="383">
        <f>SUM(LoanComparisonInfo328[[#Totals],[Column2]:[Column7]])</f>
        <v>0</v>
      </c>
      <c r="J22" s="245"/>
    </row>
    <row r="23" spans="1:10" x14ac:dyDescent="0.4">
      <c r="A23" s="245"/>
      <c r="B23" s="245"/>
      <c r="C23" s="245"/>
      <c r="D23" s="245"/>
      <c r="E23" s="245"/>
      <c r="F23" s="245"/>
      <c r="G23" s="245"/>
      <c r="H23" s="245"/>
      <c r="I23" s="245"/>
      <c r="J23" s="245"/>
    </row>
    <row r="24" spans="1:10" x14ac:dyDescent="0.4">
      <c r="A24" s="245"/>
      <c r="B24" s="245"/>
      <c r="C24" s="245"/>
      <c r="D24" s="245"/>
      <c r="E24" s="245"/>
      <c r="F24" s="245"/>
      <c r="G24" s="245"/>
      <c r="H24" s="245"/>
      <c r="I24" s="245"/>
      <c r="J24" s="245"/>
    </row>
  </sheetData>
  <phoneticPr fontId="65" type="noConversion"/>
  <dataValidations count="22">
    <dataValidation allowBlank="1" showInputMessage="1" showErrorMessage="1" prompt="Enter loan amount in this cell" sqref="B3 B14" xr:uid="{31E74C4D-03F6-294A-A4F4-6F6ED296ADF1}"/>
    <dataValidation allowBlank="1" showInputMessage="1" showErrorMessage="1" prompt="Enter loan period in years for scenario 1 in this cell" sqref="C6 C16:D16" xr:uid="{C27D4D14-EAB7-1A45-8997-E2A6C1199F9B}"/>
    <dataValidation allowBlank="1" showInputMessage="1" showErrorMessage="1" prompt="Enter annual interest rate for scenario 1 in this cell" sqref="C8 C18:I18" xr:uid="{DE1CF125-DD4C-B041-BEE0-DB3366FFD929}"/>
    <dataValidation allowBlank="1" showInputMessage="1" showErrorMessage="1" prompt="Scheduled payment is automatically calculated using the inputs entered for scenario 1 in this cell" sqref="C19 C9:I9" xr:uid="{ED4A02B5-04F2-A140-92DC-63E04AD484C6}"/>
    <dataValidation allowBlank="1" showInputMessage="1" showErrorMessage="1" prompt="Total Payments are automatically calculated using the inputs entered for scenario 1 in this cell" sqref="C10:I10 C20:I20" xr:uid="{3D96783D-B89A-E34D-9663-5E86BE87E4B9}"/>
    <dataValidation allowBlank="1" showInputMessage="1" showErrorMessage="1" prompt="Total interest is automatically calculated using the inputs entered for scenario 1 in this cell" sqref="C21:G21 C11:I11" xr:uid="{D1879195-286B-F844-A867-9DB12D0AB1A7}"/>
    <dataValidation allowBlank="1" showInputMessage="1" showErrorMessage="1" prompt="Enter loan period in years for scenario 2 in this cell" sqref="D6" xr:uid="{4E017B9A-2972-454B-B501-CC2A82231B64}"/>
    <dataValidation allowBlank="1" showInputMessage="1" showErrorMessage="1" prompt="Enter loan period in years for scenario 3 in this cell" sqref="E6:I6 E16:I16" xr:uid="{D7B2DFA2-EA55-6F48-8328-D7A5584AF115}"/>
    <dataValidation allowBlank="1" showInputMessage="1" showErrorMessage="1" prompt="Enter annual interest rate for scenario 2 in this cell" sqref="D8" xr:uid="{3CEA58A7-103E-AC4C-BB85-D15B2F214084}"/>
    <dataValidation allowBlank="1" showInputMessage="1" showErrorMessage="1" prompt="Enter annual interest rate for scenario 3 in this cell" sqref="E8:I8" xr:uid="{56E2F3EB-DBEA-0642-877C-3F3A1147B74B}"/>
    <dataValidation allowBlank="1" showInputMessage="1" showErrorMessage="1" prompt="Scheduled payment is automatically calculated using the inputs entered for scenario 2 in this cell" sqref="D19" xr:uid="{1125DBC3-AF78-3D4E-817D-084FA0E2AE00}"/>
    <dataValidation allowBlank="1" showInputMessage="1" showErrorMessage="1" prompt="Scheduled payment is automatically calculated using the inputs entered for scenario 3 in this cell" sqref="E19:I19" xr:uid="{20A2E1C9-957E-6B4A-B700-A20C8FB81122}"/>
    <dataValidation allowBlank="1" showInputMessage="1" showErrorMessage="1" prompt="Total interest is automatically calculated using the inputs entered for scenario 2 in this cell" sqref="H21:I21" xr:uid="{165E2B8F-B514-FB4F-BE79-4170EE956349}"/>
    <dataValidation allowBlank="1" showInputMessage="1" showErrorMessage="1" prompt="This workbook automatically generates a 3 loan comparison when Loan Amount, Payment Frequency, Annual Interest Rate, and Loan Period in Years is updated. A chart is in G2" sqref="A1" xr:uid="{684356CA-8167-AF49-95C0-D3AB00DCA9FC}"/>
    <dataValidation allowBlank="1" showInputMessage="1" showErrorMessage="1" prompt="Enter loan information for scenario 1 in this column. The chart at right in cell G3 will automatically update along with scheduled payment, total payments and total interest" sqref="C14:C15 C3:C5" xr:uid="{546A4839-4CF3-904F-8C3F-B725F79D0819}"/>
    <dataValidation allowBlank="1" showInputMessage="1" showErrorMessage="1" prompt="Enter loan information for scenario 3 in this column. The chart at right in cell G3 will automatically update along with scheduled payment, total payments and total interest" sqref="E3:I5 E14:I15" xr:uid="{23C591B0-EB8B-6F4C-BED7-5405BE41BCE0}"/>
    <dataValidation allowBlank="1" showInputMessage="1" showErrorMessage="1" prompt="Enter loan information for scenario 2 in this column. The chart at right in cell G3 will automatically update along with scheduled payment, total payments and total interest" sqref="D14:D15 D3:D5" xr:uid="{DA178C7C-4E0E-3E47-9766-C487B29D1CF2}"/>
    <dataValidation allowBlank="1" showInputMessage="1" showErrorMessage="1" prompt="Enter Loan information in the Loan Comparison Info table below" sqref="B2 B13" xr:uid="{1D693EF8-8A20-A04C-89C9-B9E9BCEAA499}"/>
    <dataValidation allowBlank="1" showInputMessage="1" showErrorMessage="1" prompt="Worksheet title is in this cell" sqref="B1" xr:uid="{FCB64542-B1ED-A445-856B-17DEA34100AE}"/>
    <dataValidation type="list" errorStyle="warning" allowBlank="1" showInputMessage="1" showErrorMessage="1" error="Select payment frequency from the list. Select CANCEL, then press ALT+DOWN ARROW to open drop-down list and ENTER to make selection" prompt="Enter payment frequency in this cell for scenario 2. Press ALT+DOWN ARROW to open drop-down list, then press ENTER to select the payment frequency in this cell" sqref="D7 D17" xr:uid="{F6034665-6D84-EF40-A31D-5F51C08BC528}">
      <formula1>Payment_Frequency</formula1>
    </dataValidation>
    <dataValidation type="list" errorStyle="warning" allowBlank="1" showInputMessage="1" showErrorMessage="1" error="Select payment frequency from the list. Select CANCEL, then press ALT+DOWN ARROW to open drop-down list and ENTER to make selection" prompt="Enter payment frequency in this cell for scenario 1. Press ALT+DOWN ARROW to open drop-down list, then press ENTER to select the payment frequency in this cell" sqref="C7 C17" xr:uid="{58503FF6-AC54-1848-91C6-8C209D72F845}">
      <formula1>Payment_Frequency</formula1>
    </dataValidation>
    <dataValidation type="list" errorStyle="warning" allowBlank="1" showInputMessage="1" showErrorMessage="1" error="Select payment frequency from the list. Select CANCEL, then press ALT+DOWN ARROW to open drop-down list and ENTER to make selection" prompt="Enter payment frequency in this cell for scenario 3. Press ALT+DOWN ARROW to open drop-down list, then press ENTER to select the payment frequency in this cell" sqref="E7:I7 E17:I17" xr:uid="{31F37B56-CAD7-5F4B-AA95-A2F97038F0B7}">
      <formula1>Payment_Frequency</formula1>
    </dataValidation>
  </dataValidations>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AEED5-B037-F246-8976-A328E619AD74}">
  <dimension ref="A1:N747"/>
  <sheetViews>
    <sheetView topLeftCell="A5" workbookViewId="0">
      <selection activeCell="C15" sqref="C15:I21"/>
    </sheetView>
  </sheetViews>
  <sheetFormatPr defaultColWidth="9.2109375" defaultRowHeight="13.15" x14ac:dyDescent="0.4"/>
  <cols>
    <col min="1" max="1" width="4.2109375" style="245" customWidth="1"/>
    <col min="2" max="2" width="10.2109375" style="304" customWidth="1"/>
    <col min="3" max="4" width="19.78515625" style="385" customWidth="1"/>
    <col min="5" max="5" width="26" style="385" customWidth="1"/>
    <col min="6" max="6" width="16.42578125" style="385" customWidth="1"/>
    <col min="7" max="7" width="6.42578125" style="385" hidden="1" customWidth="1"/>
    <col min="8" max="8" width="6.2109375" style="385" hidden="1" customWidth="1"/>
    <col min="9" max="11" width="19.78515625" style="385" customWidth="1"/>
    <col min="12" max="12" width="25.2109375" style="385" customWidth="1"/>
    <col min="13" max="13" width="19.78515625" style="385" customWidth="1"/>
    <col min="14" max="14" width="2.78515625" style="245" customWidth="1"/>
    <col min="15" max="15" width="10.42578125" style="245" bestFit="1" customWidth="1"/>
    <col min="16" max="16384" width="9.2109375" style="245"/>
  </cols>
  <sheetData>
    <row r="1" spans="1:14" ht="54.75" customHeight="1" x14ac:dyDescent="0.9">
      <c r="A1" s="309"/>
      <c r="B1" s="384" t="s">
        <v>382</v>
      </c>
      <c r="D1" s="245"/>
      <c r="E1" s="245"/>
      <c r="F1" s="245"/>
      <c r="G1" s="245"/>
      <c r="H1" s="245"/>
      <c r="I1" s="245"/>
      <c r="K1" s="426"/>
      <c r="L1" s="426"/>
      <c r="M1" s="245"/>
    </row>
    <row r="2" spans="1:14" ht="45" customHeight="1" x14ac:dyDescent="0.9">
      <c r="B2" s="386" t="s">
        <v>383</v>
      </c>
      <c r="C2" s="387" t="s">
        <v>425</v>
      </c>
      <c r="D2" s="245"/>
      <c r="E2" s="245"/>
      <c r="F2" s="245"/>
      <c r="G2" s="245"/>
      <c r="H2" s="245"/>
      <c r="I2" s="245"/>
      <c r="K2" s="426"/>
      <c r="L2" s="426"/>
      <c r="M2" s="245"/>
    </row>
    <row r="3" spans="1:14" ht="25.05" customHeight="1" x14ac:dyDescent="0.9">
      <c r="B3" s="384"/>
      <c r="C3" s="245"/>
      <c r="D3" s="245"/>
      <c r="E3" s="245"/>
      <c r="F3" s="245"/>
      <c r="G3" s="245"/>
      <c r="H3" s="245"/>
      <c r="I3" s="245"/>
      <c r="K3" s="426"/>
      <c r="M3" s="245"/>
    </row>
    <row r="4" spans="1:14" ht="26.25" customHeight="1" x14ac:dyDescent="0.65">
      <c r="B4" s="388" t="s">
        <v>384</v>
      </c>
      <c r="C4" s="388"/>
      <c r="D4" s="389" t="s">
        <v>42</v>
      </c>
      <c r="E4" s="245"/>
      <c r="F4" s="245"/>
      <c r="G4" s="245"/>
      <c r="H4" s="245"/>
      <c r="I4" s="469" t="s">
        <v>385</v>
      </c>
      <c r="J4" s="469"/>
      <c r="K4" s="245"/>
      <c r="L4" s="388" t="s">
        <v>386</v>
      </c>
      <c r="M4" s="390" t="s">
        <v>43</v>
      </c>
    </row>
    <row r="5" spans="1:14" ht="20" customHeight="1" x14ac:dyDescent="0.4">
      <c r="B5" s="466" t="s">
        <v>387</v>
      </c>
      <c r="C5" s="467"/>
      <c r="D5" s="391">
        <f>IFERROR(HLOOKUP($C$2,PaymentComparisonGP,2,FALSE),0)</f>
        <v>0</v>
      </c>
      <c r="E5" s="392" t="s">
        <v>376</v>
      </c>
      <c r="F5" s="393">
        <f>IFERROR(HLOOKUP($C$2,PaymentComparisonGP,6,FALSE),0)</f>
        <v>0</v>
      </c>
      <c r="G5" s="394"/>
      <c r="H5" s="394"/>
      <c r="I5" s="468" t="s">
        <v>387</v>
      </c>
      <c r="J5" s="468"/>
      <c r="K5" s="427">
        <f>IFERROR(HLOOKUP(C2,LoanComparisonInfo27[],2,FALSE),0)</f>
        <v>0</v>
      </c>
      <c r="L5" s="392" t="s">
        <v>376</v>
      </c>
      <c r="M5" s="393" t="str">
        <f>IFERROR(IF(K5,-PMT(K10/VLOOKUP(K9,LoanLookup[],5,FALSE),K8*VLOOKUP(K9,LoanLookup[#Data],5,FALSE),K7),""),"")</f>
        <v/>
      </c>
    </row>
    <row r="6" spans="1:14" ht="20" customHeight="1" x14ac:dyDescent="0.4">
      <c r="B6" s="466" t="s">
        <v>388</v>
      </c>
      <c r="C6" s="467"/>
      <c r="D6" s="395">
        <v>0</v>
      </c>
      <c r="E6" s="392" t="s">
        <v>389</v>
      </c>
      <c r="F6" s="396">
        <f>IFERROR(HLOOKUP($C$2,PaymentComparisonGP,7,FALSE),0)</f>
        <v>0</v>
      </c>
      <c r="G6" s="397"/>
      <c r="H6" s="397"/>
      <c r="I6" s="468" t="s">
        <v>388</v>
      </c>
      <c r="J6" s="468"/>
      <c r="K6" s="395">
        <v>0</v>
      </c>
      <c r="L6" s="392" t="s">
        <v>389</v>
      </c>
      <c r="M6" s="396" t="str">
        <f>IFERROR(IF(K5,K8*VLOOKUP(K9,LoanLookup[],5,FALSE),""),"")</f>
        <v/>
      </c>
    </row>
    <row r="7" spans="1:14" ht="20" customHeight="1" x14ac:dyDescent="0.4">
      <c r="B7" s="466" t="s">
        <v>371</v>
      </c>
      <c r="C7" s="467"/>
      <c r="D7" s="398">
        <f>IFERROR(HLOOKUP($C$2,PaymentComparisonGP,8,FALSE),0)</f>
        <v>0</v>
      </c>
      <c r="E7" s="392" t="s">
        <v>390</v>
      </c>
      <c r="F7" s="399" t="str">
        <f>IFERROR(IF(Values_Entered2,F6,""),"")</f>
        <v/>
      </c>
      <c r="G7" s="400"/>
      <c r="H7" s="400"/>
      <c r="I7" s="468" t="s">
        <v>371</v>
      </c>
      <c r="J7" s="468"/>
      <c r="K7" s="428">
        <f>IFERROR(HLOOKUP(C2,LoanComparisonInfo27[],3,FALSE),0)</f>
        <v>0</v>
      </c>
      <c r="L7" s="392" t="s">
        <v>390</v>
      </c>
      <c r="M7" s="399" t="str">
        <f>IFERROR(IF(K5,M6,""),"")</f>
        <v/>
      </c>
    </row>
    <row r="8" spans="1:14" ht="20" customHeight="1" x14ac:dyDescent="0.4">
      <c r="B8" s="466" t="s">
        <v>373</v>
      </c>
      <c r="C8" s="467"/>
      <c r="D8" s="401">
        <f>IFERROR(HLOOKUP($C$2,PaymentComparisonGP,3,FALSE),0)</f>
        <v>0</v>
      </c>
      <c r="E8" s="392" t="s">
        <v>391</v>
      </c>
      <c r="F8" s="402"/>
      <c r="G8" s="403"/>
      <c r="H8" s="403"/>
      <c r="I8" s="468" t="s">
        <v>373</v>
      </c>
      <c r="J8" s="468"/>
      <c r="K8" s="401">
        <f>IFERROR(HLOOKUP(C2,LoanComparisonInfo27[],4,FALSE),0)</f>
        <v>0</v>
      </c>
      <c r="L8" s="392" t="s">
        <v>391</v>
      </c>
      <c r="M8" s="402" t="str">
        <f>IFERROR(IF(K5,SUMIF(D28:D930,"&gt;0",F28:F930),""),"")</f>
        <v/>
      </c>
    </row>
    <row r="9" spans="1:14" ht="20" customHeight="1" x14ac:dyDescent="0.4">
      <c r="B9" s="466" t="s">
        <v>374</v>
      </c>
      <c r="C9" s="467"/>
      <c r="D9" s="404">
        <f>IFERROR(HLOOKUP(C2,PaymentComparisonGP,4,FALSE),0)</f>
        <v>0</v>
      </c>
      <c r="E9" s="392" t="s">
        <v>378</v>
      </c>
      <c r="F9" s="393">
        <f>IFERROR(HLOOKUP($C$2,PaymentComparisonGP,8,FALSE),0)</f>
        <v>0</v>
      </c>
      <c r="G9" s="394"/>
      <c r="H9" s="394"/>
      <c r="I9" s="468" t="s">
        <v>374</v>
      </c>
      <c r="J9" s="468"/>
      <c r="K9" s="429">
        <f>IFERROR(HLOOKUP(C2,LoanComparisonInfo27[],5,FALSE),0)</f>
        <v>0</v>
      </c>
      <c r="L9" s="392" t="s">
        <v>378</v>
      </c>
      <c r="M9" s="393" t="str">
        <f>IFERROR(IF(Values_Entered,SUMIF(D28:D765,"&gt;0",K28:K765),""),"")</f>
        <v/>
      </c>
    </row>
    <row r="10" spans="1:14" ht="20" customHeight="1" x14ac:dyDescent="0.4">
      <c r="B10" s="466" t="s">
        <v>392</v>
      </c>
      <c r="C10" s="467"/>
      <c r="D10" s="405">
        <f>IFERROR(HLOOKUP($C$2,PaymentComparisonGP,5,FALSE),0)</f>
        <v>0</v>
      </c>
      <c r="E10" s="392" t="s">
        <v>393</v>
      </c>
      <c r="F10" s="402" t="e">
        <f>0.1*$M$5</f>
        <v>#VALUE!</v>
      </c>
      <c r="G10" s="403"/>
      <c r="H10" s="406"/>
      <c r="I10" s="468" t="s">
        <v>392</v>
      </c>
      <c r="J10" s="468"/>
      <c r="K10" s="405">
        <f>IFERROR(HLOOKUP(C2,LoanComparisonInfo27[],6,FALSE),0)</f>
        <v>0</v>
      </c>
      <c r="L10" s="392" t="s">
        <v>393</v>
      </c>
      <c r="M10" s="393" t="e">
        <f>M5*0.1</f>
        <v>#VALUE!</v>
      </c>
    </row>
    <row r="11" spans="1:14" ht="20" customHeight="1" x14ac:dyDescent="0.4">
      <c r="B11" s="407"/>
      <c r="C11" s="408"/>
      <c r="D11" s="407"/>
      <c r="E11" s="407"/>
      <c r="F11" s="407"/>
      <c r="G11" s="407"/>
      <c r="H11" s="407"/>
      <c r="I11" s="409"/>
      <c r="J11" s="409"/>
      <c r="K11" s="409"/>
      <c r="L11" s="410" t="s">
        <v>394</v>
      </c>
      <c r="M11" s="411" t="str">
        <f>IFERROR(IF(Values_Entered,Scheduled_Monthly_Payment*Number_of_Payments,""),"")</f>
        <v/>
      </c>
    </row>
    <row r="12" spans="1:14" ht="20" customHeight="1" x14ac:dyDescent="0.4">
      <c r="B12" s="388" t="s">
        <v>384</v>
      </c>
      <c r="C12" s="408"/>
      <c r="D12" s="407"/>
      <c r="E12" s="407"/>
      <c r="F12" s="407"/>
      <c r="G12" s="407"/>
      <c r="H12" s="407"/>
      <c r="I12" s="409"/>
      <c r="J12" s="409"/>
      <c r="K12" s="409"/>
      <c r="L12" s="409"/>
      <c r="M12" s="409"/>
    </row>
    <row r="13" spans="1:14" ht="35.25" customHeight="1" x14ac:dyDescent="0.4">
      <c r="B13" s="307" t="s">
        <v>422</v>
      </c>
      <c r="C13" s="307" t="s">
        <v>395</v>
      </c>
      <c r="D13" s="307" t="s">
        <v>396</v>
      </c>
      <c r="E13" s="307" t="s">
        <v>397</v>
      </c>
      <c r="F13" s="307" t="s">
        <v>398</v>
      </c>
      <c r="G13" s="307" t="s">
        <v>399</v>
      </c>
      <c r="H13" s="307" t="s">
        <v>393</v>
      </c>
      <c r="I13" s="307" t="s">
        <v>400</v>
      </c>
      <c r="J13" s="307" t="s">
        <v>401</v>
      </c>
      <c r="K13" s="307" t="s">
        <v>402</v>
      </c>
      <c r="L13" s="307" t="s">
        <v>403</v>
      </c>
      <c r="M13" s="307" t="s">
        <v>404</v>
      </c>
      <c r="N13" s="307"/>
    </row>
    <row r="14" spans="1:14" s="412" customFormat="1" ht="16.5" customHeight="1" x14ac:dyDescent="0.45">
      <c r="A14" s="412" t="s">
        <v>405</v>
      </c>
      <c r="B14" s="413" t="str">
        <f>IF(Values_Entered2,1,"")</f>
        <v/>
      </c>
      <c r="C14" s="414" t="str">
        <f>IF(B14&lt;&gt;"",$D$5,"")</f>
        <v/>
      </c>
      <c r="D14" s="415" t="str">
        <f>IF(Values_Entered,D7,"")</f>
        <v/>
      </c>
      <c r="E14" s="416" t="str">
        <f>IF(B14:B25&lt;&gt;"",RowTitleRegion1..E10.2,"")</f>
        <v/>
      </c>
      <c r="F14" s="417" t="e">
        <f>IF(AND(B14:B25&lt;&gt;"",E14:E25+$F$8&lt;D14:D25),F$8,IF(AND(B14:B25&lt;&gt;"",D14:D25-E14:E25&gt;0),D14:D25-E14:E25,IF(B14:B25&lt;&gt;"",0,"")))</f>
        <v>#VALUE!</v>
      </c>
      <c r="G14" s="418"/>
      <c r="H14" s="417" t="e">
        <f>IF((G14-C14)&gt;14,F10,0)</f>
        <v>#VALUE!</v>
      </c>
      <c r="I14" s="415" t="e">
        <f>IF(AND(B14:B25&lt;&gt;"",E14:E25+$F$8&lt;D14:D25),E14:E25+$F$8,IF(AND(B14:B25&lt;&gt;"",$F$6=1),E14:E25,IF(B14:B25&lt;&gt;"",Beg_Bal,"")))</f>
        <v>#VALUE!</v>
      </c>
      <c r="J14" s="415"/>
      <c r="K14" s="415" t="str">
        <f>IF(B14:B25&lt;&gt;"",I14:I25-J14:J25,"")</f>
        <v/>
      </c>
      <c r="L14" s="415" t="e">
        <f>IF(AND(B14:B25&lt;&gt;"",E14:E25+$F$8&lt;D14:D25),D14:D25-K14:K25,IF(B14:B25&lt;&gt;"",0,""))</f>
        <v>#VALUE!</v>
      </c>
      <c r="M14" s="415">
        <f>SUM($K14:$K$14)</f>
        <v>0</v>
      </c>
      <c r="N14" s="419"/>
    </row>
    <row r="15" spans="1:14" ht="20" customHeight="1" x14ac:dyDescent="0.45">
      <c r="A15" s="412" t="s">
        <v>405</v>
      </c>
      <c r="B15" s="413" t="str">
        <f>IF(Values_Entered2,B14+1,"")</f>
        <v/>
      </c>
      <c r="C15" s="414" t="str">
        <f>IF(Pay_NumGP&lt;&gt;"",DATE(YEAR(C14)+VLOOKUP(Interval,LoanLookup[#Data],4,FALSE),MONTH(C28)+VLOOKUP(Interval,LoanLookup[#Data],2,FALSE),DAY(C28)+VLOOKUP(Interval,LoanLookup[#Data],3,FALSE)),"")</f>
        <v/>
      </c>
      <c r="D15" s="415" t="str">
        <f>IF(B14:B25&lt;&gt;"",L14,"")</f>
        <v/>
      </c>
      <c r="E15" s="416" t="str">
        <f t="shared" ref="E15:E25" si="0">IF(B15:B25&lt;&gt;"",RowTitleRegion1..E10.2,"")</f>
        <v/>
      </c>
      <c r="F15" s="417" t="e">
        <f t="shared" ref="F15:F25" si="1">IF(AND(B15:B26&lt;&gt;"",E15:E26+$F$8&lt;D15:D26),F$8,IF(AND(B15:B26&lt;&gt;"",D15:D26-E15:E26&gt;0),D15:D26-E15:E26,IF(B15:B26&lt;&gt;"",0,"")))</f>
        <v>#VALUE!</v>
      </c>
      <c r="G15" s="418"/>
      <c r="H15" s="417" t="e">
        <f t="shared" ref="H15:H25" si="2">IF((G15-C15)&gt;14,F11,0)</f>
        <v>#VALUE!</v>
      </c>
      <c r="I15" s="415" t="e">
        <f>IF(AND(B15:B25&lt;&gt;"",E15:E25+$F$8&lt;D15:D25),E15:E25+$F$8,IF(AND(B15:B25&lt;&gt;"",$F$6=1),E15:E25,IF(B15:B25&lt;&gt;"",D15:D25,"")))</f>
        <v>#VALUE!</v>
      </c>
      <c r="J15" s="415"/>
      <c r="K15" s="415" t="str">
        <f>IF(B15:B25&lt;&gt;"",I15:I25-J15:J25,"")</f>
        <v/>
      </c>
      <c r="L15" s="415" t="e">
        <f>IF(AND(B15:B25&lt;&gt;"",E15:E25+$F$8&lt;D15:D25),D15:D25-K15:K25,IF(B15:B25&lt;&gt;"",0,""))</f>
        <v>#VALUE!</v>
      </c>
      <c r="M15" s="415">
        <f>SUM($K15:$K$15)+M14</f>
        <v>0</v>
      </c>
    </row>
    <row r="16" spans="1:14" ht="20" customHeight="1" x14ac:dyDescent="0.45">
      <c r="A16" s="412" t="s">
        <v>405</v>
      </c>
      <c r="B16" s="413" t="str">
        <f>IF(Values_Entered2,B15+1,"")</f>
        <v/>
      </c>
      <c r="C16" s="414" t="str">
        <f>IF(Pay_NumGP&lt;&gt;"",DATE(YEAR(C15)+VLOOKUP(Interval,LoanLookup[#Data],4,FALSE),MONTH(C29)+VLOOKUP(Interval,LoanLookup[#Data],2,FALSE),DAY(C29)+VLOOKUP(Interval,LoanLookup[#Data],3,FALSE)),"")</f>
        <v/>
      </c>
      <c r="D16" s="415" t="str">
        <f t="shared" ref="D16:D25" si="3">IF(B15:B26&lt;&gt;"",L15,"")</f>
        <v/>
      </c>
      <c r="E16" s="416" t="str">
        <f t="shared" si="0"/>
        <v/>
      </c>
      <c r="F16" s="417" t="e">
        <f t="shared" si="1"/>
        <v>#VALUE!</v>
      </c>
      <c r="G16" s="418"/>
      <c r="H16" s="417" t="e">
        <f t="shared" si="2"/>
        <v>#VALUE!</v>
      </c>
      <c r="I16" s="415" t="e">
        <f t="shared" ref="I16:I25" si="4">IF(AND(B16:B26&lt;&gt;"",E16:E26+$F$8&lt;D16:D26),E16:E26+$F$8,IF(AND(B16:B26&lt;&gt;"",$F$6=1),E16:E26,IF(B16:B26&lt;&gt;"",D16:D26,"")))</f>
        <v>#VALUE!</v>
      </c>
      <c r="J16" s="415"/>
      <c r="K16" s="415" t="str">
        <f>IF(B16:B26&lt;&gt;"",I16:I26-J16:J26,"")</f>
        <v/>
      </c>
      <c r="L16" s="415" t="e">
        <f t="shared" ref="L16:L25" si="5">IF(AND(B16:B26&lt;&gt;"",E16:E26+$F$8&lt;D16:D26),D16:D26-K16:K26,IF(B16:B26&lt;&gt;"",0,""))</f>
        <v>#VALUE!</v>
      </c>
      <c r="M16" s="415">
        <f>SUM(K16)+M15</f>
        <v>0</v>
      </c>
    </row>
    <row r="17" spans="1:14" ht="20" customHeight="1" x14ac:dyDescent="0.45">
      <c r="A17" s="412" t="s">
        <v>405</v>
      </c>
      <c r="B17" s="413" t="str">
        <f>IF(Values_Entered2,B16+1,"")</f>
        <v/>
      </c>
      <c r="C17" s="414" t="str">
        <f>IF(Pay_NumGP&lt;&gt;"",DATE(YEAR(C16)+VLOOKUP(Interval,LoanLookup[#Data],4,FALSE),MONTH(C30)+VLOOKUP(Interval,LoanLookup[#Data],2,FALSE),DAY(C30)+VLOOKUP(Interval,LoanLookup[#Data],3,FALSE)),"")</f>
        <v/>
      </c>
      <c r="D17" s="415" t="str">
        <f t="shared" si="3"/>
        <v/>
      </c>
      <c r="E17" s="416" t="str">
        <f t="shared" si="0"/>
        <v/>
      </c>
      <c r="F17" s="417" t="e">
        <f>IF(AND(B17:B29&lt;&gt;"",E17:E28+$F$8&lt;D17:D28),F$8,IF(AND(B17:B29&lt;&gt;"",D17:D28-E17:E28&gt;0),D17:D28-E17:E28,IF(B17:B29&lt;&gt;"",0,"")))</f>
        <v>#VALUE!</v>
      </c>
      <c r="G17" s="418"/>
      <c r="H17" s="417" t="e">
        <f t="shared" si="2"/>
        <v>#VALUE!</v>
      </c>
      <c r="I17" s="415" t="e">
        <f t="shared" si="4"/>
        <v>#VALUE!</v>
      </c>
      <c r="J17" s="415"/>
      <c r="K17" s="415" t="str">
        <f t="shared" ref="K17:K25" si="6">IF(B17:B27&lt;&gt;"",I17:I27-J17:J27,"")</f>
        <v/>
      </c>
      <c r="L17" s="415" t="e">
        <f t="shared" si="5"/>
        <v>#VALUE!</v>
      </c>
      <c r="M17" s="415">
        <f t="shared" ref="M17:M24" si="7">SUM(K17)+M16</f>
        <v>0</v>
      </c>
    </row>
    <row r="18" spans="1:14" ht="20" customHeight="1" x14ac:dyDescent="0.45">
      <c r="A18" s="412" t="s">
        <v>405</v>
      </c>
      <c r="B18" s="413" t="str">
        <f>IF(Values_Entered2,B17+1,"")</f>
        <v/>
      </c>
      <c r="C18" s="414" t="str">
        <f>IF(Pay_NumGP&lt;&gt;"",DATE(YEAR(C17)+VLOOKUP(Interval,LoanLookup[#Data],4,FALSE),MONTH(C31)+VLOOKUP(Interval,LoanLookup[#Data],2,FALSE),DAY(C31)+VLOOKUP(Interval,LoanLookup[#Data],3,FALSE)),"")</f>
        <v/>
      </c>
      <c r="D18" s="415" t="str">
        <f>IF(B17:B29&lt;&gt;"",L17,"")</f>
        <v/>
      </c>
      <c r="E18" s="416" t="str">
        <f>IF(B18:B29&lt;&gt;"",RowTitleRegion1..E10.2,"")</f>
        <v/>
      </c>
      <c r="F18" s="417" t="e">
        <f t="shared" si="1"/>
        <v>#VALUE!</v>
      </c>
      <c r="G18" s="418"/>
      <c r="H18" s="417" t="e">
        <f t="shared" si="2"/>
        <v>#VALUE!</v>
      </c>
      <c r="I18" s="415" t="e">
        <f>IF(AND(B18:B29&lt;&gt;"",E18:E28+$F$8&lt;D18:D28),E18:E28+$F$8,IF(AND(B18:B29&lt;&gt;"",$F$6=1),E18:E28,IF(B18:B29&lt;&gt;"",D18:D28,"")))</f>
        <v>#VALUE!</v>
      </c>
      <c r="J18" s="415"/>
      <c r="K18" s="415" t="str">
        <f>IF(B18:B29&lt;&gt;"",I18:I28-J18:J28,"")</f>
        <v/>
      </c>
      <c r="L18" s="415" t="e">
        <f>IF(AND(B18:B29&lt;&gt;"",E18:E28+$F$8&lt;D18:D28),D18:D28-K18:K28,IF(B18:B29&lt;&gt;"",0,""))</f>
        <v>#VALUE!</v>
      </c>
      <c r="M18" s="415">
        <f t="shared" si="7"/>
        <v>0</v>
      </c>
    </row>
    <row r="19" spans="1:14" ht="20" customHeight="1" x14ac:dyDescent="0.45">
      <c r="A19" s="412" t="s">
        <v>405</v>
      </c>
      <c r="B19" s="413" t="str">
        <f>IF(Values_Entered2,B18+1,"")</f>
        <v/>
      </c>
      <c r="C19" s="414" t="str">
        <f>IF(Pay_NumGP&lt;&gt;"",DATE(YEAR(C18)+VLOOKUP(Interval,LoanLookup[#Data],4,FALSE),MONTH(C32)+VLOOKUP(Interval,LoanLookup[#Data],2,FALSE),DAY(C32)+VLOOKUP(Interval,LoanLookup[#Data],3,FALSE)),"")</f>
        <v/>
      </c>
      <c r="D19" s="415" t="str">
        <f t="shared" si="3"/>
        <v/>
      </c>
      <c r="E19" s="416" t="str">
        <f t="shared" si="0"/>
        <v/>
      </c>
      <c r="F19" s="417" t="e">
        <f t="shared" si="1"/>
        <v>#VALUE!</v>
      </c>
      <c r="G19" s="418"/>
      <c r="H19" s="417" t="e">
        <f t="shared" si="2"/>
        <v>#VALUE!</v>
      </c>
      <c r="I19" s="415" t="e">
        <f t="shared" si="4"/>
        <v>#VALUE!</v>
      </c>
      <c r="J19" s="415"/>
      <c r="K19" s="415" t="str">
        <f t="shared" si="6"/>
        <v/>
      </c>
      <c r="L19" s="415" t="e">
        <f t="shared" si="5"/>
        <v>#VALUE!</v>
      </c>
      <c r="M19" s="415">
        <f t="shared" si="7"/>
        <v>0</v>
      </c>
    </row>
    <row r="20" spans="1:14" ht="20" customHeight="1" x14ac:dyDescent="0.45">
      <c r="A20" s="412" t="s">
        <v>405</v>
      </c>
      <c r="B20" s="413" t="str">
        <f>IF(Values_Entered2,B19+1,"")</f>
        <v/>
      </c>
      <c r="C20" s="414" t="str">
        <f>IF(Pay_NumGP&lt;&gt;"",DATE(YEAR(C19)+VLOOKUP(Interval,LoanLookup[#Data],4,FALSE),MONTH(C33)+VLOOKUP(Interval,LoanLookup[#Data],2,FALSE),DAY(C33)+VLOOKUP(Interval,LoanLookup[#Data],3,FALSE)),"")</f>
        <v/>
      </c>
      <c r="D20" s="415" t="str">
        <f t="shared" si="3"/>
        <v/>
      </c>
      <c r="E20" s="416" t="str">
        <f t="shared" si="0"/>
        <v/>
      </c>
      <c r="F20" s="417" t="e">
        <f t="shared" si="1"/>
        <v>#VALUE!</v>
      </c>
      <c r="G20" s="418"/>
      <c r="H20" s="417" t="e">
        <f t="shared" si="2"/>
        <v>#VALUE!</v>
      </c>
      <c r="I20" s="415" t="e">
        <f t="shared" si="4"/>
        <v>#VALUE!</v>
      </c>
      <c r="J20" s="415"/>
      <c r="K20" s="415" t="str">
        <f t="shared" si="6"/>
        <v/>
      </c>
      <c r="L20" s="415" t="e">
        <f t="shared" si="5"/>
        <v>#VALUE!</v>
      </c>
      <c r="M20" s="415">
        <f t="shared" si="7"/>
        <v>0</v>
      </c>
    </row>
    <row r="21" spans="1:14" ht="20" customHeight="1" x14ac:dyDescent="0.45">
      <c r="A21" s="412" t="s">
        <v>405</v>
      </c>
      <c r="B21" s="413" t="str">
        <f>IF(Values_Entered2,B20+1,"")</f>
        <v/>
      </c>
      <c r="C21" s="414" t="str">
        <f>IF(Pay_NumGP&lt;&gt;"",DATE(YEAR(C20)+VLOOKUP(Interval,LoanLookup[#Data],4,FALSE),MONTH(C34)+VLOOKUP(Interval,LoanLookup[#Data],2,FALSE),DAY(C34)+VLOOKUP(Interval,LoanLookup[#Data],3,FALSE)),"")</f>
        <v/>
      </c>
      <c r="D21" s="415" t="str">
        <f t="shared" si="3"/>
        <v/>
      </c>
      <c r="E21" s="416" t="str">
        <f t="shared" si="0"/>
        <v/>
      </c>
      <c r="F21" s="417" t="e">
        <f t="shared" si="1"/>
        <v>#VALUE!</v>
      </c>
      <c r="G21" s="418"/>
      <c r="H21" s="417" t="e">
        <f t="shared" si="2"/>
        <v>#VALUE!</v>
      </c>
      <c r="I21" s="415" t="e">
        <f t="shared" si="4"/>
        <v>#VALUE!</v>
      </c>
      <c r="J21" s="415"/>
      <c r="K21" s="415" t="str">
        <f t="shared" si="6"/>
        <v/>
      </c>
      <c r="L21" s="415" t="e">
        <f t="shared" si="5"/>
        <v>#VALUE!</v>
      </c>
      <c r="M21" s="415">
        <f t="shared" si="7"/>
        <v>0</v>
      </c>
    </row>
    <row r="22" spans="1:14" ht="20" customHeight="1" x14ac:dyDescent="0.45">
      <c r="A22" s="412" t="s">
        <v>405</v>
      </c>
      <c r="B22" s="413" t="str">
        <f>IF(Values_Entered2,B21+1,"")</f>
        <v/>
      </c>
      <c r="C22" s="414" t="str">
        <f>IF(Pay_NumGP&lt;&gt;"",DATE(YEAR(C21)+VLOOKUP(Interval,LoanLookup[#Data],4,FALSE),MONTH(C35)+VLOOKUP(Interval,LoanLookup[#Data],2,FALSE),DAY(C35)+VLOOKUP(Interval,LoanLookup[#Data],3,FALSE)),"")</f>
        <v/>
      </c>
      <c r="D22" s="415" t="str">
        <f t="shared" si="3"/>
        <v/>
      </c>
      <c r="E22" s="416" t="str">
        <f t="shared" si="0"/>
        <v/>
      </c>
      <c r="F22" s="417" t="e">
        <f t="shared" si="1"/>
        <v>#VALUE!</v>
      </c>
      <c r="G22" s="418"/>
      <c r="H22" s="417" t="e">
        <f t="shared" si="2"/>
        <v>#VALUE!</v>
      </c>
      <c r="I22" s="415" t="e">
        <f t="shared" si="4"/>
        <v>#VALUE!</v>
      </c>
      <c r="J22" s="415"/>
      <c r="K22" s="415" t="str">
        <f t="shared" si="6"/>
        <v/>
      </c>
      <c r="L22" s="415" t="e">
        <f t="shared" si="5"/>
        <v>#VALUE!</v>
      </c>
      <c r="M22" s="415">
        <f t="shared" si="7"/>
        <v>0</v>
      </c>
    </row>
    <row r="23" spans="1:14" ht="20" customHeight="1" x14ac:dyDescent="0.45">
      <c r="A23" s="412" t="s">
        <v>405</v>
      </c>
      <c r="B23" s="413" t="str">
        <f>IF(Values_Entered2,B22+1,"")</f>
        <v/>
      </c>
      <c r="C23" s="414" t="str">
        <f>IF(Pay_NumGP&lt;&gt;"",DATE(YEAR(C22)+VLOOKUP(Interval,LoanLookup[#Data],4,FALSE),MONTH(C36)+VLOOKUP(Interval,LoanLookup[#Data],2,FALSE),DAY(C36)+VLOOKUP(Interval,LoanLookup[#Data],3,FALSE)),"")</f>
        <v/>
      </c>
      <c r="D23" s="415" t="str">
        <f t="shared" si="3"/>
        <v/>
      </c>
      <c r="E23" s="416" t="str">
        <f t="shared" si="0"/>
        <v/>
      </c>
      <c r="F23" s="417" t="e">
        <f t="shared" si="1"/>
        <v>#VALUE!</v>
      </c>
      <c r="G23" s="418"/>
      <c r="H23" s="417" t="e">
        <f t="shared" si="2"/>
        <v>#VALUE!</v>
      </c>
      <c r="I23" s="415" t="e">
        <f t="shared" si="4"/>
        <v>#VALUE!</v>
      </c>
      <c r="J23" s="415"/>
      <c r="K23" s="415" t="str">
        <f t="shared" si="6"/>
        <v/>
      </c>
      <c r="L23" s="415" t="e">
        <f t="shared" si="5"/>
        <v>#VALUE!</v>
      </c>
      <c r="M23" s="415">
        <f t="shared" si="7"/>
        <v>0</v>
      </c>
    </row>
    <row r="24" spans="1:14" ht="20" customHeight="1" x14ac:dyDescent="0.45">
      <c r="A24" s="412" t="s">
        <v>405</v>
      </c>
      <c r="B24" s="413" t="str">
        <f>IF(Values_Entered2,B23+1,"")</f>
        <v/>
      </c>
      <c r="C24" s="414" t="str">
        <f>IF(Pay_NumGP&lt;&gt;"",DATE(YEAR(C23)+VLOOKUP(Interval,LoanLookup[#Data],4,FALSE),MONTH(C37)+VLOOKUP(Interval,LoanLookup[#Data],2,FALSE),DAY(C37)+VLOOKUP(Interval,LoanLookup[#Data],3,FALSE)),"")</f>
        <v/>
      </c>
      <c r="D24" s="415" t="str">
        <f t="shared" si="3"/>
        <v/>
      </c>
      <c r="E24" s="416" t="str">
        <f t="shared" si="0"/>
        <v/>
      </c>
      <c r="F24" s="417" t="e">
        <f t="shared" si="1"/>
        <v>#VALUE!</v>
      </c>
      <c r="G24" s="418"/>
      <c r="H24" s="417" t="e">
        <f t="shared" si="2"/>
        <v>#VALUE!</v>
      </c>
      <c r="I24" s="415" t="e">
        <f t="shared" si="4"/>
        <v>#VALUE!</v>
      </c>
      <c r="J24" s="415"/>
      <c r="K24" s="415" t="str">
        <f t="shared" si="6"/>
        <v/>
      </c>
      <c r="L24" s="415" t="e">
        <f t="shared" si="5"/>
        <v>#VALUE!</v>
      </c>
      <c r="M24" s="415">
        <f t="shared" si="7"/>
        <v>0</v>
      </c>
    </row>
    <row r="25" spans="1:14" ht="20" customHeight="1" x14ac:dyDescent="0.45">
      <c r="A25" s="412" t="s">
        <v>405</v>
      </c>
      <c r="B25" s="413" t="str">
        <f>IF(Values_Entered2,B24+1,"")</f>
        <v/>
      </c>
      <c r="C25" s="414" t="str">
        <f>IF(Pay_NumGP&lt;&gt;"",DATE(YEAR(C24)+VLOOKUP(Interval,LoanLookup[#Data],4,FALSE),MONTH(C38)+VLOOKUP(Interval,LoanLookup[#Data],2,FALSE),DAY(C38)+VLOOKUP(Interval,LoanLookup[#Data],3,FALSE)),"")</f>
        <v/>
      </c>
      <c r="D25" s="415" t="str">
        <f t="shared" si="3"/>
        <v/>
      </c>
      <c r="E25" s="416" t="str">
        <f t="shared" si="0"/>
        <v/>
      </c>
      <c r="F25" s="417" t="e">
        <f t="shared" si="1"/>
        <v>#VALUE!</v>
      </c>
      <c r="G25" s="418"/>
      <c r="H25" s="417" t="e">
        <f t="shared" si="2"/>
        <v>#VALUE!</v>
      </c>
      <c r="I25" s="415" t="e">
        <f t="shared" si="4"/>
        <v>#VALUE!</v>
      </c>
      <c r="J25" s="415"/>
      <c r="K25" s="415" t="str">
        <f t="shared" si="6"/>
        <v/>
      </c>
      <c r="L25" s="415" t="e">
        <f t="shared" si="5"/>
        <v>#VALUE!</v>
      </c>
      <c r="M25" s="415">
        <f>SUM(K25)+M24</f>
        <v>0</v>
      </c>
    </row>
    <row r="26" spans="1:14" ht="20" customHeight="1" x14ac:dyDescent="0.4">
      <c r="B26" s="407"/>
      <c r="C26" s="408"/>
      <c r="D26" s="407"/>
      <c r="E26" s="407"/>
      <c r="F26" s="407"/>
      <c r="G26" s="407"/>
      <c r="H26" s="407"/>
      <c r="I26" s="409"/>
      <c r="J26" s="409"/>
      <c r="K26" s="409"/>
      <c r="L26" s="409"/>
      <c r="M26" s="409"/>
    </row>
    <row r="27" spans="1:14" s="412" customFormat="1" ht="35" customHeight="1" x14ac:dyDescent="0.4">
      <c r="B27" s="307" t="s">
        <v>422</v>
      </c>
      <c r="C27" s="307" t="s">
        <v>395</v>
      </c>
      <c r="D27" s="307" t="s">
        <v>396</v>
      </c>
      <c r="E27" s="307" t="s">
        <v>397</v>
      </c>
      <c r="F27" s="307" t="s">
        <v>398</v>
      </c>
      <c r="G27" s="307" t="s">
        <v>399</v>
      </c>
      <c r="H27" s="307" t="s">
        <v>393</v>
      </c>
      <c r="I27" s="307" t="s">
        <v>400</v>
      </c>
      <c r="J27" s="307" t="s">
        <v>401</v>
      </c>
      <c r="K27" s="307" t="s">
        <v>402</v>
      </c>
      <c r="L27" s="307" t="s">
        <v>403</v>
      </c>
      <c r="M27" s="307" t="s">
        <v>404</v>
      </c>
      <c r="N27" s="307"/>
    </row>
    <row r="28" spans="1:14" s="412" customFormat="1" ht="16.5" customHeight="1" x14ac:dyDescent="0.45">
      <c r="B28" s="430" t="str">
        <f>IF(Values_Entered,1,"")</f>
        <v/>
      </c>
      <c r="C28" s="414" t="str">
        <f>IF(Pay_Num&lt;&gt;"",Loan_Start,"")</f>
        <v/>
      </c>
      <c r="D28" s="415" t="str">
        <f>IF(Values_Entered,Loan_Amount,"")</f>
        <v/>
      </c>
      <c r="E28" s="416" t="str">
        <f>IF(Pay_Num&lt;&gt;"",Scheduled_Monthly_Payment,"")</f>
        <v/>
      </c>
      <c r="F28" s="417" t="e">
        <f>IF(AND(Pay_Num&lt;&gt;"",Sched_Pay+Scheduled_Extra_Payments&lt;Beg_Bal2),Scheduled_Extra_Payments,IF(AND(Pay_Num&lt;&gt;"",Beg_Bal2-Sched_Pay&gt;0),Beg_Bal2-Sched_Pay,IF(Pay_Num&lt;&gt;"",0,"")))</f>
        <v>#VALUE!</v>
      </c>
      <c r="G28" s="417"/>
      <c r="H28" s="417" t="e">
        <f>IF((G28-C28)&gt;14,F10,0)</f>
        <v>#VALUE!</v>
      </c>
      <c r="I28" s="415" t="e">
        <f>IF(AND(Pay_Num&lt;&gt;"",Sched_Pay+Extra_Pay2&lt;Beg_Bal2),Sched_Pay+Extra_Pay2,IF(AND(Pay_Num&lt;&gt;"",scheduled_no_payments=1),Sched_Pay,IF(Pay_Num&lt;&gt;"",Beg_Bal2,"")))</f>
        <v>#VALUE!</v>
      </c>
      <c r="J28" s="415" t="str">
        <f>IF(Pay_Num&lt;&gt;"",Total_Pay-Int,"")</f>
        <v/>
      </c>
      <c r="K28" s="415" t="str">
        <f>IF(Pay_Num&lt;&gt;"",Beg_Bal2*(InterestRate/VLOOKUP(Interval,LoanLookup[],5,FALSE)),"")</f>
        <v/>
      </c>
      <c r="L28" s="415" t="e">
        <f>IF(AND(Pay_Num&lt;&gt;"",Sched_Pay+Extra_Pay2&lt;Beg_Bal2),Beg_Bal2-Princ,IF(Pay_Num&lt;&gt;"",0,""))</f>
        <v>#VALUE!</v>
      </c>
      <c r="M28" s="415">
        <f>SUM($K$28:$K28)</f>
        <v>0</v>
      </c>
      <c r="N28" s="419"/>
    </row>
    <row r="29" spans="1:14" s="412" customFormat="1" ht="16.5" customHeight="1" x14ac:dyDescent="0.45">
      <c r="B29" s="431" t="e">
        <f>B28+1</f>
        <v>#VALUE!</v>
      </c>
      <c r="C29" s="414" t="e">
        <f>IF(Pay_Num&lt;&gt;"",DATE(YEAR(C28)+VLOOKUP(Interval,LoanLookup[#Data],4,FALSE),MONTH(C28)+VLOOKUP(Interval,LoanLookup[#Data],2,FALSE),DAY(C28)+VLOOKUP(Interval,LoanLookup[#Data],3,FALSE)),"")</f>
        <v>#VALUE!</v>
      </c>
      <c r="D29" s="415" t="e">
        <f t="shared" ref="D29:D60" si="8">IF(Pay_Num&lt;&gt;"",L28,"")</f>
        <v>#VALUE!</v>
      </c>
      <c r="E29" s="416" t="e">
        <f>IF(Pay_Num&lt;&gt;"",Scheduled_Monthly_Payment,"")</f>
        <v>#VALUE!</v>
      </c>
      <c r="F29" s="417" t="e">
        <f>IF(scheduled_no_payments=1,"",IF(Sched_Pay+Scheduled_Extra_Payments&lt;Beg_Bal2,Scheduled_Extra_Payments,IF(AND(Pay_Num&lt;&gt;"",Beg_Bal2-Sched_Pay&gt;0),Beg_Bal2-Sched_Pay,IF(Pay_Num&lt;&gt;"",0,""))))</f>
        <v>#VALUE!</v>
      </c>
      <c r="G29" s="417"/>
      <c r="H29" s="417" t="e">
        <f>IF((G29-C29)&gt;14,F11,0)</f>
        <v>#VALUE!</v>
      </c>
      <c r="I29" s="415" t="e">
        <f>IF(scheduled_no_payments=1,"",IF(Sched_Pay+Extra_Pay2&lt;Beg_Bal2,Sched_Pay+Extra_Pay2,IF(Pay_Num&lt;&gt;"",Beg_Bal2,"")))</f>
        <v>#VALUE!</v>
      </c>
      <c r="J29" s="415" t="e">
        <f>IF(Pay_Num&lt;&gt;"",Total_Pay-Int,"")</f>
        <v>#VALUE!</v>
      </c>
      <c r="K29" s="415" t="e">
        <f>IF(Pay_Num&lt;&gt;"",Beg_Bal2*(InterestRate/VLOOKUP(Interval,LoanLookup[],5,FALSE)),"")</f>
        <v>#VALUE!</v>
      </c>
      <c r="L29" s="415" t="e">
        <f t="shared" ref="L29:L91" si="9">IF(AND(Pay_Num&lt;&gt;"",Sched_Pay+Extra_Pay2&lt;Beg_Bal2),Beg_Bal2-Princ,IF(Pay_Num&lt;&gt;"",0,""))</f>
        <v>#VALUE!</v>
      </c>
      <c r="M29" s="415" t="e">
        <f>IF(scheduled_no_payments=1,"",SUM($K$28:$K29))</f>
        <v>#VALUE!</v>
      </c>
      <c r="N29" s="420"/>
    </row>
    <row r="30" spans="1:14" s="412" customFormat="1" ht="16.5" customHeight="1" x14ac:dyDescent="0.45">
      <c r="B30" s="413" t="str">
        <f>IF(AND(Values_Entered,scheduled_no_payments&lt;&gt;1),B29+1,"")</f>
        <v/>
      </c>
      <c r="C30" s="414" t="str">
        <f>IF(Pay_Num&lt;&gt;"",DATE(YEAR(C29)+VLOOKUP(Interval,LoanLookup[#Data],4,FALSE),MONTH(C29)+VLOOKUP(Interval,LoanLookup[#Data],2,FALSE),DAY(C29)+VLOOKUP(Interval,LoanLookup[#Data],3,FALSE)),"")</f>
        <v/>
      </c>
      <c r="D30" s="415" t="str">
        <f t="shared" si="8"/>
        <v/>
      </c>
      <c r="E30" s="416" t="str">
        <f t="shared" ref="E30:E93" si="10">IF(Pay_Num&lt;&gt;"",Scheduled_Monthly_Payment,"")</f>
        <v/>
      </c>
      <c r="F30" s="417" t="e">
        <f>IF(scheduled_no_payments=1,"",IF(Sched_Pay+Scheduled_Extra_Payments&lt;Beg_Bal2,Scheduled_Extra_Payments,IF(AND(Pay_Num&lt;&gt;"",Beg_Bal2-Sched_Pay&gt;0),Beg_Bal2-Sched_Pay,IF(Pay_Num&lt;&gt;"",0,""))))</f>
        <v>#VALUE!</v>
      </c>
      <c r="G30" s="417"/>
      <c r="H30" s="417" t="e">
        <f t="shared" ref="H30:H93" si="11">IF((G30-C30)&gt;14,F27,0)</f>
        <v>#VALUE!</v>
      </c>
      <c r="I30" s="415" t="e">
        <f>IF(scheduled_no_payments=1,"",IF(Sched_Pay+Extra_Pay2&lt;Beg_Bal2,Sched_Pay+Extra_Pay2,IF(Pay_Num&lt;&gt;"",Beg_Bal2,"")))</f>
        <v>#VALUE!</v>
      </c>
      <c r="J30" s="415" t="str">
        <f t="shared" ref="J30:J92" si="12">IF(Pay_Num&lt;&gt;"",Total_Pay-Int,"")</f>
        <v/>
      </c>
      <c r="K30" s="415" t="str">
        <f>IF(Pay_Num&lt;&gt;"",Beg_Bal2*(InterestRate/VLOOKUP(Interval,LoanLookup[],5,FALSE)),"")</f>
        <v/>
      </c>
      <c r="L30" s="415" t="e">
        <f t="shared" si="9"/>
        <v>#VALUE!</v>
      </c>
      <c r="M30" s="415" t="e">
        <f>IF(scheduled_no_payments=1,"",SUM($K$28:$K30))</f>
        <v>#VALUE!</v>
      </c>
      <c r="N30" s="420"/>
    </row>
    <row r="31" spans="1:14" s="412" customFormat="1" ht="16.5" customHeight="1" x14ac:dyDescent="0.45">
      <c r="B31" s="413" t="str">
        <f>IF(AND(Values_Entered,scheduled_no_payments&lt;&gt;1),B30+1,"")</f>
        <v/>
      </c>
      <c r="C31" s="414" t="str">
        <f>IF(Pay_Num&lt;&gt;"",DATE(YEAR(C30)+VLOOKUP(Interval,LoanLookup[#Data],4,FALSE),MONTH(C30)+VLOOKUP(Interval,LoanLookup[#Data],2,FALSE),DAY(C30)+VLOOKUP(Interval,LoanLookup[#Data],3,FALSE)),"")</f>
        <v/>
      </c>
      <c r="D31" s="415" t="str">
        <f t="shared" si="8"/>
        <v/>
      </c>
      <c r="E31" s="416" t="str">
        <f>IF(Pay_Num&lt;&gt;"",Scheduled_Monthly_Payment,"")</f>
        <v/>
      </c>
      <c r="F31" s="417" t="e">
        <f>IF(scheduled_no_payments=1,"",IF(Sched_Pay+Scheduled_Extra_Payments&lt;Beg_Bal2,Scheduled_Extra_Payments,IF(AND(Pay_Num&lt;&gt;"",Beg_Bal2-Sched_Pay&gt;0),Beg_Bal2-Sched_Pay,IF(Pay_Num&lt;&gt;"",0,""))))</f>
        <v>#VALUE!</v>
      </c>
      <c r="G31" s="417"/>
      <c r="H31" s="417" t="e">
        <f t="shared" si="11"/>
        <v>#VALUE!</v>
      </c>
      <c r="I31" s="415" t="e">
        <f>IF(scheduled_no_payments=1,"",IF(Sched_Pay+Extra_Pay2&lt;Beg_Bal2,Sched_Pay+Extra_Pay2,IF(Pay_Num&lt;&gt;"",Beg_Bal2,"")))</f>
        <v>#VALUE!</v>
      </c>
      <c r="J31" s="415" t="str">
        <f t="shared" si="12"/>
        <v/>
      </c>
      <c r="K31" s="415" t="str">
        <f>IF(Pay_Num&lt;&gt;"",Beg_Bal2*(InterestRate/VLOOKUP(Interval,LoanLookup[],5,FALSE)),"")</f>
        <v/>
      </c>
      <c r="L31" s="415" t="e">
        <f t="shared" si="9"/>
        <v>#VALUE!</v>
      </c>
      <c r="M31" s="415" t="e">
        <f>IF(scheduled_no_payments=1,"",SUM($K$28:$K31))</f>
        <v>#VALUE!</v>
      </c>
      <c r="N31" s="420"/>
    </row>
    <row r="32" spans="1:14" s="412" customFormat="1" ht="16.5" customHeight="1" x14ac:dyDescent="0.45">
      <c r="B32" s="413" t="str">
        <f>IF(AND(Values_Entered,scheduled_no_payments&lt;&gt;1),B31+1,"")</f>
        <v/>
      </c>
      <c r="C32" s="414" t="str">
        <f>IF(Pay_Num&lt;&gt;"",DATE(YEAR(C31)+VLOOKUP(Interval,LoanLookup[#Data],4,FALSE),MONTH(C31)+VLOOKUP(Interval,LoanLookup[#Data],2,FALSE),DAY(C31)+VLOOKUP(Interval,LoanLookup[#Data],3,FALSE)),"")</f>
        <v/>
      </c>
      <c r="D32" s="415" t="str">
        <f t="shared" si="8"/>
        <v/>
      </c>
      <c r="E32" s="416" t="str">
        <f t="shared" si="10"/>
        <v/>
      </c>
      <c r="F32" s="417" t="e">
        <f>IF(scheduled_no_payments=1,"",IF(Sched_Pay+Scheduled_Extra_Payments&lt;Beg_Bal2,Scheduled_Extra_Payments,IF(AND(Pay_Num&lt;&gt;"",Beg_Bal2-Sched_Pay&gt;0),Beg_Bal2-Sched_Pay,IF(Pay_Num&lt;&gt;"",0,""))))</f>
        <v>#VALUE!</v>
      </c>
      <c r="G32" s="417"/>
      <c r="H32" s="417" t="e">
        <f t="shared" si="11"/>
        <v>#VALUE!</v>
      </c>
      <c r="I32" s="415" t="e">
        <f>IF(scheduled_no_payments=1,"",IF(Sched_Pay+Extra_Pay2&lt;Beg_Bal2,Sched_Pay+Extra_Pay2,IF(Pay_Num&lt;&gt;"",Beg_Bal2,"")))</f>
        <v>#VALUE!</v>
      </c>
      <c r="J32" s="415" t="str">
        <f t="shared" si="12"/>
        <v/>
      </c>
      <c r="K32" s="415" t="str">
        <f>IF(Pay_Num&lt;&gt;"",Beg_Bal2*(InterestRate/VLOOKUP(Interval,LoanLookup[],5,FALSE)),"")</f>
        <v/>
      </c>
      <c r="L32" s="415" t="e">
        <f t="shared" si="9"/>
        <v>#VALUE!</v>
      </c>
      <c r="M32" s="415" t="e">
        <f>IF(scheduled_no_payments=1,"",SUM($K$28:$K32))</f>
        <v>#VALUE!</v>
      </c>
      <c r="N32" s="420"/>
    </row>
    <row r="33" spans="2:14" ht="16.5" customHeight="1" x14ac:dyDescent="0.45">
      <c r="B33" s="413" t="str">
        <f>IF(AND(Values_Entered,scheduled_no_payments&lt;&gt;1),B32+1,"")</f>
        <v/>
      </c>
      <c r="C33" s="414" t="str">
        <f>IF(Pay_Num&lt;&gt;"",DATE(YEAR(C32)+VLOOKUP(Interval,LoanLookup[#Data],4,FALSE),MONTH(C32)+VLOOKUP(Interval,LoanLookup[#Data],2,FALSE),DAY(C32)+VLOOKUP(Interval,LoanLookup[#Data],3,FALSE)),"")</f>
        <v/>
      </c>
      <c r="D33" s="415" t="str">
        <f t="shared" si="8"/>
        <v/>
      </c>
      <c r="E33" s="416" t="str">
        <f t="shared" si="10"/>
        <v/>
      </c>
      <c r="F33" s="417" t="e">
        <f>IF(scheduled_no_payments=1,"",IF(Sched_Pay+Scheduled_Extra_Payments&lt;Beg_Bal2,Scheduled_Extra_Payments,IF(AND(Pay_Num&lt;&gt;"",Beg_Bal2-Sched_Pay&gt;0),Beg_Bal2-Sched_Pay,IF(Pay_Num&lt;&gt;"",0,""))))</f>
        <v>#VALUE!</v>
      </c>
      <c r="G33" s="417"/>
      <c r="H33" s="417" t="e">
        <f t="shared" si="11"/>
        <v>#VALUE!</v>
      </c>
      <c r="I33" s="415" t="e">
        <f>IF(scheduled_no_payments=1,"",IF(Sched_Pay+Extra_Pay2&lt;Beg_Bal2,Sched_Pay+Extra_Pay2,IF(Pay_Num&lt;&gt;"",Beg_Bal2,"")))</f>
        <v>#VALUE!</v>
      </c>
      <c r="J33" s="415" t="str">
        <f t="shared" si="12"/>
        <v/>
      </c>
      <c r="K33" s="415" t="str">
        <f>IF(Pay_Num&lt;&gt;"",Beg_Bal2*(InterestRate/VLOOKUP(Interval,LoanLookup[],5,FALSE)),"")</f>
        <v/>
      </c>
      <c r="L33" s="415" t="e">
        <f t="shared" si="9"/>
        <v>#VALUE!</v>
      </c>
      <c r="M33" s="415" t="e">
        <f>IF(scheduled_no_payments=1,"",SUM($K$28:$K33))</f>
        <v>#VALUE!</v>
      </c>
      <c r="N33" s="420"/>
    </row>
    <row r="34" spans="2:14" ht="16.5" customHeight="1" x14ac:dyDescent="0.45">
      <c r="B34" s="413" t="str">
        <f>IF(AND(Values_Entered,scheduled_no_payments&lt;&gt;1),B33+1,"")</f>
        <v/>
      </c>
      <c r="C34" s="414" t="str">
        <f>IF(Pay_Num&lt;&gt;"",DATE(YEAR(C33)+VLOOKUP(Interval,LoanLookup[#Data],4,FALSE),MONTH(C33)+VLOOKUP(Interval,LoanLookup[#Data],2,FALSE),DAY(C33)+VLOOKUP(Interval,LoanLookup[#Data],3,FALSE)),"")</f>
        <v/>
      </c>
      <c r="D34" s="415" t="str">
        <f t="shared" si="8"/>
        <v/>
      </c>
      <c r="E34" s="416" t="str">
        <f t="shared" si="10"/>
        <v/>
      </c>
      <c r="F34" s="417" t="e">
        <f>IF(scheduled_no_payments=1,"",IF(Sched_Pay+Scheduled_Extra_Payments&lt;Beg_Bal2,Scheduled_Extra_Payments,IF(AND(Pay_Num&lt;&gt;"",Beg_Bal2-Sched_Pay&gt;0),Beg_Bal2-Sched_Pay,IF(Pay_Num&lt;&gt;"",0,""))))</f>
        <v>#VALUE!</v>
      </c>
      <c r="G34" s="417"/>
      <c r="H34" s="417" t="e">
        <f t="shared" si="11"/>
        <v>#VALUE!</v>
      </c>
      <c r="I34" s="415" t="e">
        <f>IF(scheduled_no_payments=1,"",IF(Sched_Pay+Extra_Pay2&lt;Beg_Bal2,Sched_Pay+Extra_Pay2,IF(Pay_Num&lt;&gt;"",Beg_Bal2,"")))</f>
        <v>#VALUE!</v>
      </c>
      <c r="J34" s="415" t="str">
        <f t="shared" si="12"/>
        <v/>
      </c>
      <c r="K34" s="415" t="str">
        <f>IF(Pay_Num&lt;&gt;"",Beg_Bal2*(InterestRate/VLOOKUP(Interval,LoanLookup[],5,FALSE)),"")</f>
        <v/>
      </c>
      <c r="L34" s="415" t="e">
        <f t="shared" si="9"/>
        <v>#VALUE!</v>
      </c>
      <c r="M34" s="415" t="e">
        <f>IF(scheduled_no_payments=1,"",SUM($K$28:$K34))</f>
        <v>#VALUE!</v>
      </c>
      <c r="N34" s="420"/>
    </row>
    <row r="35" spans="2:14" ht="16.5" customHeight="1" x14ac:dyDescent="0.45">
      <c r="B35" s="413" t="str">
        <f>IF(AND(Values_Entered,scheduled_no_payments&lt;&gt;1),B34+1,"")</f>
        <v/>
      </c>
      <c r="C35" s="414" t="str">
        <f>IF(Pay_Num&lt;&gt;"",DATE(YEAR(C34)+VLOOKUP(Interval,LoanLookup[#Data],4,FALSE),MONTH(C34)+VLOOKUP(Interval,LoanLookup[#Data],2,FALSE),DAY(C34)+VLOOKUP(Interval,LoanLookup[#Data],3,FALSE)),"")</f>
        <v/>
      </c>
      <c r="D35" s="415" t="str">
        <f t="shared" si="8"/>
        <v/>
      </c>
      <c r="E35" s="416" t="str">
        <f t="shared" si="10"/>
        <v/>
      </c>
      <c r="F35" s="417" t="e">
        <f>IF(scheduled_no_payments=1,"",IF(Sched_Pay+Scheduled_Extra_Payments&lt;Beg_Bal2,Scheduled_Extra_Payments,IF(AND(Pay_Num&lt;&gt;"",Beg_Bal2-Sched_Pay&gt;0),Beg_Bal2-Sched_Pay,IF(Pay_Num&lt;&gt;"",0,""))))</f>
        <v>#VALUE!</v>
      </c>
      <c r="G35" s="417"/>
      <c r="H35" s="417" t="e">
        <f t="shared" si="11"/>
        <v>#VALUE!</v>
      </c>
      <c r="I35" s="415" t="e">
        <f>IF(scheduled_no_payments=1,"",IF(Sched_Pay+Extra_Pay2&lt;Beg_Bal2,Sched_Pay+Extra_Pay2,IF(Pay_Num&lt;&gt;"",Beg_Bal2,"")))</f>
        <v>#VALUE!</v>
      </c>
      <c r="J35" s="415" t="str">
        <f t="shared" si="12"/>
        <v/>
      </c>
      <c r="K35" s="415" t="str">
        <f>IF(Pay_Num&lt;&gt;"",Beg_Bal2*(InterestRate/VLOOKUP(Interval,LoanLookup[],5,FALSE)),"")</f>
        <v/>
      </c>
      <c r="L35" s="415" t="e">
        <f t="shared" si="9"/>
        <v>#VALUE!</v>
      </c>
      <c r="M35" s="415" t="e">
        <f>IF(scheduled_no_payments=1,"",SUM($K$28:$K35))</f>
        <v>#VALUE!</v>
      </c>
      <c r="N35" s="420"/>
    </row>
    <row r="36" spans="2:14" ht="16.5" customHeight="1" x14ac:dyDescent="0.45">
      <c r="B36" s="413" t="str">
        <f>IF(AND(Values_Entered,scheduled_no_payments&lt;&gt;1),B35+1,"")</f>
        <v/>
      </c>
      <c r="C36" s="414" t="str">
        <f>IF(Pay_Num&lt;&gt;"",DATE(YEAR(C35)+VLOOKUP(Interval,LoanLookup[#Data],4,FALSE),MONTH(C35)+VLOOKUP(Interval,LoanLookup[#Data],2,FALSE),DAY(C35)+VLOOKUP(Interval,LoanLookup[#Data],3,FALSE)),"")</f>
        <v/>
      </c>
      <c r="D36" s="415" t="str">
        <f t="shared" si="8"/>
        <v/>
      </c>
      <c r="E36" s="416" t="str">
        <f t="shared" si="10"/>
        <v/>
      </c>
      <c r="F36" s="417" t="e">
        <f>IF(scheduled_no_payments=1,"",IF(Sched_Pay+Scheduled_Extra_Payments&lt;Beg_Bal2,Scheduled_Extra_Payments,IF(AND(Pay_Num&lt;&gt;"",Beg_Bal2-Sched_Pay&gt;0),Beg_Bal2-Sched_Pay,IF(Pay_Num&lt;&gt;"",0,""))))</f>
        <v>#VALUE!</v>
      </c>
      <c r="G36" s="417"/>
      <c r="H36" s="417" t="e">
        <f t="shared" si="11"/>
        <v>#VALUE!</v>
      </c>
      <c r="I36" s="415" t="e">
        <f>IF(scheduled_no_payments=1,"",IF(Sched_Pay+Extra_Pay2&lt;Beg_Bal2,Sched_Pay+Extra_Pay2,IF(Pay_Num&lt;&gt;"",Beg_Bal2,"")))</f>
        <v>#VALUE!</v>
      </c>
      <c r="J36" s="415" t="str">
        <f t="shared" si="12"/>
        <v/>
      </c>
      <c r="K36" s="415" t="str">
        <f>IF(Pay_Num&lt;&gt;"",Beg_Bal2*(InterestRate/VLOOKUP(Interval,LoanLookup[],5,FALSE)),"")</f>
        <v/>
      </c>
      <c r="L36" s="415" t="e">
        <f t="shared" si="9"/>
        <v>#VALUE!</v>
      </c>
      <c r="M36" s="415" t="e">
        <f>IF(scheduled_no_payments=1,"",SUM($K$28:$K36))</f>
        <v>#VALUE!</v>
      </c>
      <c r="N36" s="420"/>
    </row>
    <row r="37" spans="2:14" ht="16.5" customHeight="1" x14ac:dyDescent="0.45">
      <c r="B37" s="413" t="str">
        <f>IF(AND(Values_Entered,scheduled_no_payments&lt;&gt;1),B36+1,"")</f>
        <v/>
      </c>
      <c r="C37" s="414" t="str">
        <f>IF(Pay_Num&lt;&gt;"",DATE(YEAR(C36)+VLOOKUP(Interval,LoanLookup[#Data],4,FALSE),MONTH(C36)+VLOOKUP(Interval,LoanLookup[#Data],2,FALSE),DAY(C36)+VLOOKUP(Interval,LoanLookup[#Data],3,FALSE)),"")</f>
        <v/>
      </c>
      <c r="D37" s="415" t="str">
        <f t="shared" si="8"/>
        <v/>
      </c>
      <c r="E37" s="416" t="str">
        <f t="shared" si="10"/>
        <v/>
      </c>
      <c r="F37" s="417" t="e">
        <f>IF(scheduled_no_payments=1,"",IF(Sched_Pay+Scheduled_Extra_Payments&lt;Beg_Bal2,Scheduled_Extra_Payments,IF(AND(Pay_Num&lt;&gt;"",Beg_Bal2-Sched_Pay&gt;0),Beg_Bal2-Sched_Pay,IF(Pay_Num&lt;&gt;"",0,""))))</f>
        <v>#VALUE!</v>
      </c>
      <c r="G37" s="417"/>
      <c r="H37" s="417" t="e">
        <f t="shared" si="11"/>
        <v>#VALUE!</v>
      </c>
      <c r="I37" s="415" t="e">
        <f>IF(scheduled_no_payments=1,"",IF(Sched_Pay+Extra_Pay2&lt;Beg_Bal2,Sched_Pay+Extra_Pay2,IF(Pay_Num&lt;&gt;"",Beg_Bal2,"")))</f>
        <v>#VALUE!</v>
      </c>
      <c r="J37" s="415" t="str">
        <f t="shared" si="12"/>
        <v/>
      </c>
      <c r="K37" s="415" t="str">
        <f>IF(Pay_Num&lt;&gt;"",Beg_Bal2*(InterestRate/VLOOKUP(Interval,LoanLookup[],5,FALSE)),"")</f>
        <v/>
      </c>
      <c r="L37" s="415" t="e">
        <f t="shared" si="9"/>
        <v>#VALUE!</v>
      </c>
      <c r="M37" s="415" t="e">
        <f>IF(scheduled_no_payments=1,"",SUM($K$28:$K37))</f>
        <v>#VALUE!</v>
      </c>
      <c r="N37" s="420"/>
    </row>
    <row r="38" spans="2:14" ht="16.5" customHeight="1" x14ac:dyDescent="0.45">
      <c r="B38" s="413" t="str">
        <f>IF(AND(Values_Entered,scheduled_no_payments&lt;&gt;1),B37+1,"")</f>
        <v/>
      </c>
      <c r="C38" s="414" t="str">
        <f>IF(Pay_Num&lt;&gt;"",DATE(YEAR(C37)+VLOOKUP(Interval,LoanLookup[#Data],4,FALSE),MONTH(C37)+VLOOKUP(Interval,LoanLookup[#Data],2,FALSE),DAY(C37)+VLOOKUP(Interval,LoanLookup[#Data],3,FALSE)),"")</f>
        <v/>
      </c>
      <c r="D38" s="415" t="str">
        <f t="shared" si="8"/>
        <v/>
      </c>
      <c r="E38" s="416" t="str">
        <f t="shared" si="10"/>
        <v/>
      </c>
      <c r="F38" s="417" t="e">
        <f>IF(scheduled_no_payments=1,"",IF(Sched_Pay+Scheduled_Extra_Payments&lt;Beg_Bal2,Scheduled_Extra_Payments,IF(AND(Pay_Num&lt;&gt;"",Beg_Bal2-Sched_Pay&gt;0),Beg_Bal2-Sched_Pay,IF(Pay_Num&lt;&gt;"",0,""))))</f>
        <v>#VALUE!</v>
      </c>
      <c r="G38" s="417"/>
      <c r="H38" s="417" t="e">
        <f t="shared" si="11"/>
        <v>#VALUE!</v>
      </c>
      <c r="I38" s="415" t="e">
        <f>IF(scheduled_no_payments=1,"",IF(Sched_Pay+Extra_Pay2&lt;Beg_Bal2,Sched_Pay+Extra_Pay2,IF(Pay_Num&lt;&gt;"",Beg_Bal2,"")))</f>
        <v>#VALUE!</v>
      </c>
      <c r="J38" s="415" t="str">
        <f t="shared" si="12"/>
        <v/>
      </c>
      <c r="K38" s="415" t="str">
        <f>IF(Pay_Num&lt;&gt;"",Beg_Bal2*(InterestRate/VLOOKUP(Interval,LoanLookup[],5,FALSE)),"")</f>
        <v/>
      </c>
      <c r="L38" s="415" t="e">
        <f t="shared" si="9"/>
        <v>#VALUE!</v>
      </c>
      <c r="M38" s="415" t="e">
        <f>IF(scheduled_no_payments=1,"",SUM($K$28:$K38))</f>
        <v>#VALUE!</v>
      </c>
      <c r="N38" s="420"/>
    </row>
    <row r="39" spans="2:14" ht="16.5" customHeight="1" x14ac:dyDescent="0.45">
      <c r="B39" s="413" t="str">
        <f>IF(AND(Values_Entered,scheduled_no_payments&lt;&gt;1),B38+1,"")</f>
        <v/>
      </c>
      <c r="C39" s="414" t="str">
        <f>IF(Pay_Num&lt;&gt;"",DATE(YEAR(C38)+VLOOKUP(Interval,LoanLookup[#Data],4,FALSE),MONTH(C38)+VLOOKUP(Interval,LoanLookup[#Data],2,FALSE),DAY(C38)+VLOOKUP(Interval,LoanLookup[#Data],3,FALSE)),"")</f>
        <v/>
      </c>
      <c r="D39" s="415" t="str">
        <f t="shared" si="8"/>
        <v/>
      </c>
      <c r="E39" s="416" t="str">
        <f t="shared" si="10"/>
        <v/>
      </c>
      <c r="F39" s="417" t="e">
        <f>IF(scheduled_no_payments=1,"",IF(Sched_Pay+Scheduled_Extra_Payments&lt;Beg_Bal2,Scheduled_Extra_Payments,IF(AND(Pay_Num&lt;&gt;"",Beg_Bal2-Sched_Pay&gt;0),Beg_Bal2-Sched_Pay,IF(Pay_Num&lt;&gt;"",0,""))))</f>
        <v>#VALUE!</v>
      </c>
      <c r="G39" s="417"/>
      <c r="H39" s="417" t="e">
        <f t="shared" si="11"/>
        <v>#VALUE!</v>
      </c>
      <c r="I39" s="415" t="e">
        <f>IF(scheduled_no_payments=1,"",IF(Sched_Pay+Extra_Pay2&lt;Beg_Bal2,Sched_Pay+Extra_Pay2,IF(Pay_Num&lt;&gt;"",Beg_Bal2,"")))</f>
        <v>#VALUE!</v>
      </c>
      <c r="J39" s="415" t="str">
        <f t="shared" si="12"/>
        <v/>
      </c>
      <c r="K39" s="415" t="str">
        <f>IF(Pay_Num&lt;&gt;"",Beg_Bal2*(InterestRate/VLOOKUP(Interval,LoanLookup[],5,FALSE)),"")</f>
        <v/>
      </c>
      <c r="L39" s="415" t="e">
        <f t="shared" si="9"/>
        <v>#VALUE!</v>
      </c>
      <c r="M39" s="415" t="e">
        <f>IF(scheduled_no_payments=1,"",SUM($K$28:$K39))</f>
        <v>#VALUE!</v>
      </c>
      <c r="N39" s="420"/>
    </row>
    <row r="40" spans="2:14" ht="16.5" customHeight="1" x14ac:dyDescent="0.45">
      <c r="B40" s="413" t="str">
        <f>IF(AND(Values_Entered,scheduled_no_payments&lt;&gt;1),B39+1,"")</f>
        <v/>
      </c>
      <c r="C40" s="414" t="str">
        <f>IF(Pay_Num&lt;&gt;"",DATE(YEAR(C39)+VLOOKUP(Interval,LoanLookup[#Data],4,FALSE),MONTH(C39)+VLOOKUP(Interval,LoanLookup[#Data],2,FALSE),DAY(C39)+VLOOKUP(Interval,LoanLookup[#Data],3,FALSE)),"")</f>
        <v/>
      </c>
      <c r="D40" s="415" t="str">
        <f t="shared" si="8"/>
        <v/>
      </c>
      <c r="E40" s="416" t="str">
        <f t="shared" si="10"/>
        <v/>
      </c>
      <c r="F40" s="417" t="e">
        <f>IF(scheduled_no_payments=1,"",IF(Sched_Pay+Scheduled_Extra_Payments&lt;Beg_Bal2,Scheduled_Extra_Payments,IF(AND(Pay_Num&lt;&gt;"",Beg_Bal2-Sched_Pay&gt;0),Beg_Bal2-Sched_Pay,IF(Pay_Num&lt;&gt;"",0,""))))</f>
        <v>#VALUE!</v>
      </c>
      <c r="G40" s="417"/>
      <c r="H40" s="417" t="e">
        <f t="shared" si="11"/>
        <v>#VALUE!</v>
      </c>
      <c r="I40" s="415" t="e">
        <f>IF(scheduled_no_payments=1,"",IF(Sched_Pay+Extra_Pay2&lt;Beg_Bal2,Sched_Pay+Extra_Pay2,IF(Pay_Num&lt;&gt;"",Beg_Bal2,"")))</f>
        <v>#VALUE!</v>
      </c>
      <c r="J40" s="415" t="str">
        <f t="shared" si="12"/>
        <v/>
      </c>
      <c r="K40" s="415" t="str">
        <f>IF(Pay_Num&lt;&gt;"",Beg_Bal2*(InterestRate/VLOOKUP(Interval,LoanLookup[],5,FALSE)),"")</f>
        <v/>
      </c>
      <c r="L40" s="415" t="e">
        <f t="shared" si="9"/>
        <v>#VALUE!</v>
      </c>
      <c r="M40" s="415" t="e">
        <f>IF(scheduled_no_payments=1,"",SUM($K$28:$K40))</f>
        <v>#VALUE!</v>
      </c>
      <c r="N40" s="420"/>
    </row>
    <row r="41" spans="2:14" ht="16.5" customHeight="1" x14ac:dyDescent="0.45">
      <c r="B41" s="413" t="str">
        <f>IF(AND(Values_Entered,scheduled_no_payments&lt;&gt;1),B40+1,"")</f>
        <v/>
      </c>
      <c r="C41" s="414" t="str">
        <f>IF(Pay_Num&lt;&gt;"",DATE(YEAR(C40)+VLOOKUP(Interval,LoanLookup[#Data],4,FALSE),MONTH(C40)+VLOOKUP(Interval,LoanLookup[#Data],2,FALSE),DAY(C40)+VLOOKUP(Interval,LoanLookup[#Data],3,FALSE)),"")</f>
        <v/>
      </c>
      <c r="D41" s="415" t="str">
        <f t="shared" si="8"/>
        <v/>
      </c>
      <c r="E41" s="416" t="str">
        <f t="shared" si="10"/>
        <v/>
      </c>
      <c r="F41" s="417" t="e">
        <f>IF(scheduled_no_payments=1,"",IF(Sched_Pay+Scheduled_Extra_Payments&lt;Beg_Bal2,Scheduled_Extra_Payments,IF(AND(Pay_Num&lt;&gt;"",Beg_Bal2-Sched_Pay&gt;0),Beg_Bal2-Sched_Pay,IF(Pay_Num&lt;&gt;"",0,""))))</f>
        <v>#VALUE!</v>
      </c>
      <c r="G41" s="417"/>
      <c r="H41" s="417" t="e">
        <f t="shared" si="11"/>
        <v>#VALUE!</v>
      </c>
      <c r="I41" s="415" t="e">
        <f>IF(scheduled_no_payments=1,"",IF(Sched_Pay+Extra_Pay2&lt;Beg_Bal2,Sched_Pay+Extra_Pay2,IF(Pay_Num&lt;&gt;"",Beg_Bal2,"")))</f>
        <v>#VALUE!</v>
      </c>
      <c r="J41" s="415" t="str">
        <f t="shared" si="12"/>
        <v/>
      </c>
      <c r="K41" s="415" t="str">
        <f>IF(Pay_Num&lt;&gt;"",Beg_Bal2*(InterestRate/VLOOKUP(Interval,LoanLookup[],5,FALSE)),"")</f>
        <v/>
      </c>
      <c r="L41" s="415" t="e">
        <f t="shared" si="9"/>
        <v>#VALUE!</v>
      </c>
      <c r="M41" s="415" t="e">
        <f>IF(scheduled_no_payments=1,"",SUM($K$28:$K41))</f>
        <v>#VALUE!</v>
      </c>
      <c r="N41" s="420"/>
    </row>
    <row r="42" spans="2:14" ht="16.5" customHeight="1" x14ac:dyDescent="0.45">
      <c r="B42" s="413" t="str">
        <f>IF(AND(Values_Entered,scheduled_no_payments&lt;&gt;1),B41+1,"")</f>
        <v/>
      </c>
      <c r="C42" s="414" t="str">
        <f>IF(Pay_Num&lt;&gt;"",DATE(YEAR(C41)+VLOOKUP(Interval,LoanLookup[#Data],4,FALSE),MONTH(C41)+VLOOKUP(Interval,LoanLookup[#Data],2,FALSE),DAY(C41)+VLOOKUP(Interval,LoanLookup[#Data],3,FALSE)),"")</f>
        <v/>
      </c>
      <c r="D42" s="415" t="str">
        <f t="shared" si="8"/>
        <v/>
      </c>
      <c r="E42" s="416" t="str">
        <f t="shared" si="10"/>
        <v/>
      </c>
      <c r="F42" s="417" t="e">
        <f>IF(scheduled_no_payments=1,"",IF(Sched_Pay+Scheduled_Extra_Payments&lt;Beg_Bal2,Scheduled_Extra_Payments,IF(AND(Pay_Num&lt;&gt;"",Beg_Bal2-Sched_Pay&gt;0),Beg_Bal2-Sched_Pay,IF(Pay_Num&lt;&gt;"",0,""))))</f>
        <v>#VALUE!</v>
      </c>
      <c r="G42" s="417"/>
      <c r="H42" s="417" t="e">
        <f t="shared" si="11"/>
        <v>#VALUE!</v>
      </c>
      <c r="I42" s="415" t="e">
        <f>IF(scheduled_no_payments=1,"",IF(Sched_Pay+Extra_Pay2&lt;Beg_Bal2,Sched_Pay+Extra_Pay2,IF(Pay_Num&lt;&gt;"",Beg_Bal2,"")))</f>
        <v>#VALUE!</v>
      </c>
      <c r="J42" s="415" t="str">
        <f t="shared" si="12"/>
        <v/>
      </c>
      <c r="K42" s="415" t="str">
        <f>IF(Pay_Num&lt;&gt;"",Beg_Bal2*(InterestRate/VLOOKUP(Interval,LoanLookup[],5,FALSE)),"")</f>
        <v/>
      </c>
      <c r="L42" s="415" t="e">
        <f t="shared" si="9"/>
        <v>#VALUE!</v>
      </c>
      <c r="M42" s="415" t="e">
        <f>IF(scheduled_no_payments=1,"",SUM($K$28:$K42))</f>
        <v>#VALUE!</v>
      </c>
      <c r="N42" s="420"/>
    </row>
    <row r="43" spans="2:14" ht="16.5" customHeight="1" x14ac:dyDescent="0.45">
      <c r="B43" s="413" t="str">
        <f>IF(AND(Values_Entered,scheduled_no_payments&lt;&gt;1),B42+1,"")</f>
        <v/>
      </c>
      <c r="C43" s="414" t="str">
        <f>IF(Pay_Num&lt;&gt;"",DATE(YEAR(C42)+VLOOKUP(Interval,LoanLookup[#Data],4,FALSE),MONTH(C42)+VLOOKUP(Interval,LoanLookup[#Data],2,FALSE),DAY(C42)+VLOOKUP(Interval,LoanLookup[#Data],3,FALSE)),"")</f>
        <v/>
      </c>
      <c r="D43" s="415" t="str">
        <f t="shared" si="8"/>
        <v/>
      </c>
      <c r="E43" s="416" t="str">
        <f t="shared" si="10"/>
        <v/>
      </c>
      <c r="F43" s="417" t="e">
        <f>IF(scheduled_no_payments=1,"",IF(Sched_Pay+Scheduled_Extra_Payments&lt;Beg_Bal2,Scheduled_Extra_Payments,IF(AND(Pay_Num&lt;&gt;"",Beg_Bal2-Sched_Pay&gt;0),Beg_Bal2-Sched_Pay,IF(Pay_Num&lt;&gt;"",0,""))))</f>
        <v>#VALUE!</v>
      </c>
      <c r="G43" s="417"/>
      <c r="H43" s="417" t="e">
        <f t="shared" si="11"/>
        <v>#VALUE!</v>
      </c>
      <c r="I43" s="415" t="e">
        <f>IF(scheduled_no_payments=1,"",IF(Sched_Pay+Extra_Pay2&lt;Beg_Bal2,Sched_Pay+Extra_Pay2,IF(Pay_Num&lt;&gt;"",Beg_Bal2,"")))</f>
        <v>#VALUE!</v>
      </c>
      <c r="J43" s="415" t="str">
        <f t="shared" si="12"/>
        <v/>
      </c>
      <c r="K43" s="415" t="str">
        <f>IF(Pay_Num&lt;&gt;"",Beg_Bal2*(InterestRate/VLOOKUP(Interval,LoanLookup[],5,FALSE)),"")</f>
        <v/>
      </c>
      <c r="L43" s="415" t="e">
        <f t="shared" si="9"/>
        <v>#VALUE!</v>
      </c>
      <c r="M43" s="415" t="e">
        <f>IF(scheduled_no_payments=1,"",SUM($K$28:$K43))</f>
        <v>#VALUE!</v>
      </c>
      <c r="N43" s="420"/>
    </row>
    <row r="44" spans="2:14" ht="16.5" customHeight="1" x14ac:dyDescent="0.45">
      <c r="B44" s="413" t="str">
        <f>IF(AND(Values_Entered,scheduled_no_payments&lt;&gt;1),B43+1,"")</f>
        <v/>
      </c>
      <c r="C44" s="414" t="str">
        <f>IF(Pay_Num&lt;&gt;"",DATE(YEAR(C43)+VLOOKUP(Interval,LoanLookup[#Data],4,FALSE),MONTH(C43)+VLOOKUP(Interval,LoanLookup[#Data],2,FALSE),DAY(C43)+VLOOKUP(Interval,LoanLookup[#Data],3,FALSE)),"")</f>
        <v/>
      </c>
      <c r="D44" s="415" t="str">
        <f t="shared" si="8"/>
        <v/>
      </c>
      <c r="E44" s="416" t="str">
        <f t="shared" si="10"/>
        <v/>
      </c>
      <c r="F44" s="417" t="e">
        <f>IF(scheduled_no_payments=1,"",IF(Sched_Pay+Scheduled_Extra_Payments&lt;Beg_Bal2,Scheduled_Extra_Payments,IF(AND(Pay_Num&lt;&gt;"",Beg_Bal2-Sched_Pay&gt;0),Beg_Bal2-Sched_Pay,IF(Pay_Num&lt;&gt;"",0,""))))</f>
        <v>#VALUE!</v>
      </c>
      <c r="G44" s="417"/>
      <c r="H44" s="417" t="e">
        <f t="shared" si="11"/>
        <v>#VALUE!</v>
      </c>
      <c r="I44" s="415" t="e">
        <f>IF(scheduled_no_payments=1,"",IF(Sched_Pay+Extra_Pay2&lt;Beg_Bal2,Sched_Pay+Extra_Pay2,IF(Pay_Num&lt;&gt;"",Beg_Bal2,"")))</f>
        <v>#VALUE!</v>
      </c>
      <c r="J44" s="415" t="str">
        <f t="shared" si="12"/>
        <v/>
      </c>
      <c r="K44" s="415" t="str">
        <f>IF(Pay_Num&lt;&gt;"",Beg_Bal2*(InterestRate/VLOOKUP(Interval,LoanLookup[],5,FALSE)),"")</f>
        <v/>
      </c>
      <c r="L44" s="415" t="e">
        <f t="shared" si="9"/>
        <v>#VALUE!</v>
      </c>
      <c r="M44" s="415" t="e">
        <f>IF(scheduled_no_payments=1,"",SUM($K$28:$K44))</f>
        <v>#VALUE!</v>
      </c>
      <c r="N44" s="420"/>
    </row>
    <row r="45" spans="2:14" ht="16.5" customHeight="1" x14ac:dyDescent="0.45">
      <c r="B45" s="413" t="str">
        <f>IF(AND(Values_Entered,scheduled_no_payments&lt;&gt;1),B44+1,"")</f>
        <v/>
      </c>
      <c r="C45" s="414" t="str">
        <f>IF(Pay_Num&lt;&gt;"",DATE(YEAR(C44)+VLOOKUP(Interval,LoanLookup[#Data],4,FALSE),MONTH(C44)+VLOOKUP(Interval,LoanLookup[#Data],2,FALSE),DAY(C44)+VLOOKUP(Interval,LoanLookup[#Data],3,FALSE)),"")</f>
        <v/>
      </c>
      <c r="D45" s="415" t="str">
        <f t="shared" si="8"/>
        <v/>
      </c>
      <c r="E45" s="416" t="str">
        <f t="shared" si="10"/>
        <v/>
      </c>
      <c r="F45" s="417" t="e">
        <f>IF(scheduled_no_payments=1,"",IF(Sched_Pay+Scheduled_Extra_Payments&lt;Beg_Bal2,Scheduled_Extra_Payments,IF(AND(Pay_Num&lt;&gt;"",Beg_Bal2-Sched_Pay&gt;0),Beg_Bal2-Sched_Pay,IF(Pay_Num&lt;&gt;"",0,""))))</f>
        <v>#VALUE!</v>
      </c>
      <c r="G45" s="417"/>
      <c r="H45" s="417" t="e">
        <f t="shared" si="11"/>
        <v>#VALUE!</v>
      </c>
      <c r="I45" s="415" t="e">
        <f>IF(scheduled_no_payments=1,"",IF(Sched_Pay+Extra_Pay2&lt;Beg_Bal2,Sched_Pay+Extra_Pay2,IF(Pay_Num&lt;&gt;"",Beg_Bal2,"")))</f>
        <v>#VALUE!</v>
      </c>
      <c r="J45" s="415" t="str">
        <f t="shared" si="12"/>
        <v/>
      </c>
      <c r="K45" s="415" t="str">
        <f>IF(Pay_Num&lt;&gt;"",Beg_Bal2*(InterestRate/VLOOKUP(Interval,LoanLookup[],5,FALSE)),"")</f>
        <v/>
      </c>
      <c r="L45" s="415" t="e">
        <f t="shared" si="9"/>
        <v>#VALUE!</v>
      </c>
      <c r="M45" s="415" t="e">
        <f>IF(scheduled_no_payments=1,"",SUM($K$28:$K45))</f>
        <v>#VALUE!</v>
      </c>
      <c r="N45" s="420"/>
    </row>
    <row r="46" spans="2:14" ht="16.5" customHeight="1" x14ac:dyDescent="0.45">
      <c r="B46" s="413" t="str">
        <f>IF(AND(Values_Entered,scheduled_no_payments&lt;&gt;1),B45+1,"")</f>
        <v/>
      </c>
      <c r="C46" s="414" t="str">
        <f>IF(Pay_Num&lt;&gt;"",DATE(YEAR(C45)+VLOOKUP(Interval,LoanLookup[#Data],4,FALSE),MONTH(C45)+VLOOKUP(Interval,LoanLookup[#Data],2,FALSE),DAY(C45)+VLOOKUP(Interval,LoanLookup[#Data],3,FALSE)),"")</f>
        <v/>
      </c>
      <c r="D46" s="415" t="str">
        <f t="shared" si="8"/>
        <v/>
      </c>
      <c r="E46" s="416" t="str">
        <f t="shared" si="10"/>
        <v/>
      </c>
      <c r="F46" s="417" t="e">
        <f>IF(scheduled_no_payments=1,"",IF(Sched_Pay+Scheduled_Extra_Payments&lt;Beg_Bal2,Scheduled_Extra_Payments,IF(AND(Pay_Num&lt;&gt;"",Beg_Bal2-Sched_Pay&gt;0),Beg_Bal2-Sched_Pay,IF(Pay_Num&lt;&gt;"",0,""))))</f>
        <v>#VALUE!</v>
      </c>
      <c r="G46" s="417"/>
      <c r="H46" s="417" t="e">
        <f t="shared" si="11"/>
        <v>#VALUE!</v>
      </c>
      <c r="I46" s="415" t="e">
        <f>IF(scheduled_no_payments=1,"",IF(Sched_Pay+Extra_Pay2&lt;Beg_Bal2,Sched_Pay+Extra_Pay2,IF(Pay_Num&lt;&gt;"",Beg_Bal2,"")))</f>
        <v>#VALUE!</v>
      </c>
      <c r="J46" s="415" t="str">
        <f t="shared" si="12"/>
        <v/>
      </c>
      <c r="K46" s="415" t="str">
        <f>IF(Pay_Num&lt;&gt;"",Beg_Bal2*(InterestRate/VLOOKUP(Interval,LoanLookup[],5,FALSE)),"")</f>
        <v/>
      </c>
      <c r="L46" s="415" t="e">
        <f t="shared" si="9"/>
        <v>#VALUE!</v>
      </c>
      <c r="M46" s="415" t="e">
        <f>IF(scheduled_no_payments=1,"",SUM($K$28:$K46))</f>
        <v>#VALUE!</v>
      </c>
      <c r="N46" s="420"/>
    </row>
    <row r="47" spans="2:14" ht="16.5" customHeight="1" x14ac:dyDescent="0.45">
      <c r="B47" s="413" t="str">
        <f>IF(AND(Values_Entered,scheduled_no_payments&lt;&gt;1),B46+1,"")</f>
        <v/>
      </c>
      <c r="C47" s="414" t="str">
        <f>IF(Pay_Num&lt;&gt;"",DATE(YEAR(C46)+VLOOKUP(Interval,LoanLookup[#Data],4,FALSE),MONTH(C46)+VLOOKUP(Interval,LoanLookup[#Data],2,FALSE),DAY(C46)+VLOOKUP(Interval,LoanLookup[#Data],3,FALSE)),"")</f>
        <v/>
      </c>
      <c r="D47" s="415" t="str">
        <f t="shared" si="8"/>
        <v/>
      </c>
      <c r="E47" s="416" t="str">
        <f t="shared" si="10"/>
        <v/>
      </c>
      <c r="F47" s="417" t="e">
        <f>IF(scheduled_no_payments=1,"",IF(Sched_Pay+Scheduled_Extra_Payments&lt;Beg_Bal2,Scheduled_Extra_Payments,IF(AND(Pay_Num&lt;&gt;"",Beg_Bal2-Sched_Pay&gt;0),Beg_Bal2-Sched_Pay,IF(Pay_Num&lt;&gt;"",0,""))))</f>
        <v>#VALUE!</v>
      </c>
      <c r="G47" s="417"/>
      <c r="H47" s="417" t="e">
        <f t="shared" si="11"/>
        <v>#VALUE!</v>
      </c>
      <c r="I47" s="415" t="e">
        <f>IF(scheduled_no_payments=1,"",IF(Sched_Pay+Extra_Pay2&lt;Beg_Bal2,Sched_Pay+Extra_Pay2,IF(Pay_Num&lt;&gt;"",Beg_Bal2,"")))</f>
        <v>#VALUE!</v>
      </c>
      <c r="J47" s="415" t="str">
        <f t="shared" si="12"/>
        <v/>
      </c>
      <c r="K47" s="415" t="str">
        <f>IF(Pay_Num&lt;&gt;"",Beg_Bal2*(InterestRate/VLOOKUP(Interval,LoanLookup[],5,FALSE)),"")</f>
        <v/>
      </c>
      <c r="L47" s="415" t="e">
        <f t="shared" si="9"/>
        <v>#VALUE!</v>
      </c>
      <c r="M47" s="415" t="e">
        <f>IF(scheduled_no_payments=1,"",SUM($K$28:$K47))</f>
        <v>#VALUE!</v>
      </c>
      <c r="N47" s="420"/>
    </row>
    <row r="48" spans="2:14" ht="16.5" customHeight="1" x14ac:dyDescent="0.45">
      <c r="B48" s="413" t="str">
        <f>IF(AND(Values_Entered,scheduled_no_payments&lt;&gt;1),B47+1,"")</f>
        <v/>
      </c>
      <c r="C48" s="414" t="str">
        <f>IF(Pay_Num&lt;&gt;"",DATE(YEAR(C47)+VLOOKUP(Interval,LoanLookup[#Data],4,FALSE),MONTH(C47)+VLOOKUP(Interval,LoanLookup[#Data],2,FALSE),DAY(C47)+VLOOKUP(Interval,LoanLookup[#Data],3,FALSE)),"")</f>
        <v/>
      </c>
      <c r="D48" s="415" t="str">
        <f t="shared" si="8"/>
        <v/>
      </c>
      <c r="E48" s="416" t="str">
        <f t="shared" si="10"/>
        <v/>
      </c>
      <c r="F48" s="417" t="e">
        <f>IF(scheduled_no_payments=1,"",IF(Sched_Pay+Scheduled_Extra_Payments&lt;Beg_Bal2,Scheduled_Extra_Payments,IF(AND(Pay_Num&lt;&gt;"",Beg_Bal2-Sched_Pay&gt;0),Beg_Bal2-Sched_Pay,IF(Pay_Num&lt;&gt;"",0,""))))</f>
        <v>#VALUE!</v>
      </c>
      <c r="G48" s="417"/>
      <c r="H48" s="417" t="e">
        <f t="shared" si="11"/>
        <v>#VALUE!</v>
      </c>
      <c r="I48" s="415" t="e">
        <f>IF(scheduled_no_payments=1,"",IF(Sched_Pay+Extra_Pay2&lt;Beg_Bal2,Sched_Pay+Extra_Pay2,IF(Pay_Num&lt;&gt;"",Beg_Bal2,"")))</f>
        <v>#VALUE!</v>
      </c>
      <c r="J48" s="415" t="str">
        <f t="shared" si="12"/>
        <v/>
      </c>
      <c r="K48" s="415" t="str">
        <f>IF(Pay_Num&lt;&gt;"",Beg_Bal2*(InterestRate/VLOOKUP(Interval,LoanLookup[],5,FALSE)),"")</f>
        <v/>
      </c>
      <c r="L48" s="415" t="e">
        <f t="shared" si="9"/>
        <v>#VALUE!</v>
      </c>
      <c r="M48" s="415" t="e">
        <f>IF(scheduled_no_payments=1,"",SUM($K$28:$K48))</f>
        <v>#VALUE!</v>
      </c>
      <c r="N48" s="420"/>
    </row>
    <row r="49" spans="2:14" ht="16.5" customHeight="1" x14ac:dyDescent="0.45">
      <c r="B49" s="413" t="str">
        <f>IF(AND(Values_Entered,scheduled_no_payments&lt;&gt;1),B48+1,"")</f>
        <v/>
      </c>
      <c r="C49" s="414" t="str">
        <f>IF(Pay_Num&lt;&gt;"",DATE(YEAR(C48)+VLOOKUP(Interval,LoanLookup[#Data],4,FALSE),MONTH(C48)+VLOOKUP(Interval,LoanLookup[#Data],2,FALSE),DAY(C48)+VLOOKUP(Interval,LoanLookup[#Data],3,FALSE)),"")</f>
        <v/>
      </c>
      <c r="D49" s="415" t="str">
        <f t="shared" si="8"/>
        <v/>
      </c>
      <c r="E49" s="416" t="str">
        <f t="shared" si="10"/>
        <v/>
      </c>
      <c r="F49" s="417" t="e">
        <f>IF(scheduled_no_payments=1,"",IF(Sched_Pay+Scheduled_Extra_Payments&lt;Beg_Bal2,Scheduled_Extra_Payments,IF(AND(Pay_Num&lt;&gt;"",Beg_Bal2-Sched_Pay&gt;0),Beg_Bal2-Sched_Pay,IF(Pay_Num&lt;&gt;"",0,""))))</f>
        <v>#VALUE!</v>
      </c>
      <c r="G49" s="417"/>
      <c r="H49" s="417" t="e">
        <f t="shared" si="11"/>
        <v>#VALUE!</v>
      </c>
      <c r="I49" s="415" t="e">
        <f>IF(scheduled_no_payments=1,"",IF(Sched_Pay+Extra_Pay2&lt;Beg_Bal2,Sched_Pay+Extra_Pay2,IF(Pay_Num&lt;&gt;"",Beg_Bal2,"")))</f>
        <v>#VALUE!</v>
      </c>
      <c r="J49" s="415" t="str">
        <f t="shared" si="12"/>
        <v/>
      </c>
      <c r="K49" s="415" t="str">
        <f>IF(Pay_Num&lt;&gt;"",Beg_Bal2*(InterestRate/VLOOKUP(Interval,LoanLookup[],5,FALSE)),"")</f>
        <v/>
      </c>
      <c r="L49" s="415" t="e">
        <f t="shared" si="9"/>
        <v>#VALUE!</v>
      </c>
      <c r="M49" s="415" t="e">
        <f>IF(scheduled_no_payments=1,"",SUM($K$28:$K49))</f>
        <v>#VALUE!</v>
      </c>
      <c r="N49" s="420"/>
    </row>
    <row r="50" spans="2:14" ht="16.5" customHeight="1" x14ac:dyDescent="0.45">
      <c r="B50" s="413" t="str">
        <f>IF(AND(Values_Entered,scheduled_no_payments&lt;&gt;1),B49+1,"")</f>
        <v/>
      </c>
      <c r="C50" s="414" t="str">
        <f>IF(Pay_Num&lt;&gt;"",DATE(YEAR(C49)+VLOOKUP(Interval,LoanLookup[#Data],4,FALSE),MONTH(C49)+VLOOKUP(Interval,LoanLookup[#Data],2,FALSE),DAY(C49)+VLOOKUP(Interval,LoanLookup[#Data],3,FALSE)),"")</f>
        <v/>
      </c>
      <c r="D50" s="415" t="str">
        <f t="shared" si="8"/>
        <v/>
      </c>
      <c r="E50" s="416" t="str">
        <f t="shared" si="10"/>
        <v/>
      </c>
      <c r="F50" s="417" t="e">
        <f>IF(scheduled_no_payments=1,"",IF(Sched_Pay+Scheduled_Extra_Payments&lt;Beg_Bal2,Scheduled_Extra_Payments,IF(AND(Pay_Num&lt;&gt;"",Beg_Bal2-Sched_Pay&gt;0),Beg_Bal2-Sched_Pay,IF(Pay_Num&lt;&gt;"",0,""))))</f>
        <v>#VALUE!</v>
      </c>
      <c r="G50" s="417"/>
      <c r="H50" s="417" t="e">
        <f t="shared" si="11"/>
        <v>#VALUE!</v>
      </c>
      <c r="I50" s="415" t="e">
        <f>IF(scheduled_no_payments=1,"",IF(Sched_Pay+Extra_Pay2&lt;Beg_Bal2,Sched_Pay+Extra_Pay2,IF(Pay_Num&lt;&gt;"",Beg_Bal2,"")))</f>
        <v>#VALUE!</v>
      </c>
      <c r="J50" s="415" t="str">
        <f t="shared" si="12"/>
        <v/>
      </c>
      <c r="K50" s="415" t="str">
        <f>IF(Pay_Num&lt;&gt;"",Beg_Bal2*(InterestRate/VLOOKUP(Interval,LoanLookup[],5,FALSE)),"")</f>
        <v/>
      </c>
      <c r="L50" s="415" t="e">
        <f t="shared" si="9"/>
        <v>#VALUE!</v>
      </c>
      <c r="M50" s="415" t="e">
        <f>IF(scheduled_no_payments=1,"",SUM($K$28:$K50))</f>
        <v>#VALUE!</v>
      </c>
      <c r="N50" s="420"/>
    </row>
    <row r="51" spans="2:14" ht="16.5" customHeight="1" x14ac:dyDescent="0.45">
      <c r="B51" s="413" t="str">
        <f>IF(AND(Values_Entered,scheduled_no_payments&lt;&gt;1),B50+1,"")</f>
        <v/>
      </c>
      <c r="C51" s="414" t="str">
        <f>IF(Pay_Num&lt;&gt;"",DATE(YEAR(C50)+VLOOKUP(Interval,LoanLookup[#Data],4,FALSE),MONTH(C50)+VLOOKUP(Interval,LoanLookup[#Data],2,FALSE),DAY(C50)+VLOOKUP(Interval,LoanLookup[#Data],3,FALSE)),"")</f>
        <v/>
      </c>
      <c r="D51" s="415" t="str">
        <f t="shared" si="8"/>
        <v/>
      </c>
      <c r="E51" s="416" t="str">
        <f t="shared" si="10"/>
        <v/>
      </c>
      <c r="F51" s="417" t="e">
        <f>IF(scheduled_no_payments=1,"",IF(Sched_Pay+Scheduled_Extra_Payments&lt;Beg_Bal2,Scheduled_Extra_Payments,IF(AND(Pay_Num&lt;&gt;"",Beg_Bal2-Sched_Pay&gt;0),Beg_Bal2-Sched_Pay,IF(Pay_Num&lt;&gt;"",0,""))))</f>
        <v>#VALUE!</v>
      </c>
      <c r="G51" s="417"/>
      <c r="H51" s="417" t="e">
        <f t="shared" si="11"/>
        <v>#VALUE!</v>
      </c>
      <c r="I51" s="415" t="e">
        <f>IF(scheduled_no_payments=1,"",IF(Sched_Pay+Extra_Pay2&lt;Beg_Bal2,Sched_Pay+Extra_Pay2,IF(Pay_Num&lt;&gt;"",Beg_Bal2,"")))</f>
        <v>#VALUE!</v>
      </c>
      <c r="J51" s="415" t="str">
        <f t="shared" si="12"/>
        <v/>
      </c>
      <c r="K51" s="415" t="str">
        <f>IF(Pay_Num&lt;&gt;"",Beg_Bal2*(InterestRate/VLOOKUP(Interval,LoanLookup[],5,FALSE)),"")</f>
        <v/>
      </c>
      <c r="L51" s="415" t="e">
        <f t="shared" si="9"/>
        <v>#VALUE!</v>
      </c>
      <c r="M51" s="415" t="e">
        <f>IF(scheduled_no_payments=1,"",SUM($K$28:$K51))</f>
        <v>#VALUE!</v>
      </c>
      <c r="N51" s="420"/>
    </row>
    <row r="52" spans="2:14" ht="16.5" customHeight="1" x14ac:dyDescent="0.45">
      <c r="B52" s="413" t="str">
        <f>IF(AND(Values_Entered,scheduled_no_payments&lt;&gt;1),B51+1,"")</f>
        <v/>
      </c>
      <c r="C52" s="414" t="str">
        <f>IF(Pay_Num&lt;&gt;"",DATE(YEAR(C51)+VLOOKUP(Interval,LoanLookup[#Data],4,FALSE),MONTH(C51)+VLOOKUP(Interval,LoanLookup[#Data],2,FALSE),DAY(C51)+VLOOKUP(Interval,LoanLookup[#Data],3,FALSE)),"")</f>
        <v/>
      </c>
      <c r="D52" s="415" t="str">
        <f t="shared" si="8"/>
        <v/>
      </c>
      <c r="E52" s="416" t="str">
        <f t="shared" si="10"/>
        <v/>
      </c>
      <c r="F52" s="417" t="e">
        <f>IF(scheduled_no_payments=1,"",IF(Sched_Pay+Scheduled_Extra_Payments&lt;Beg_Bal2,Scheduled_Extra_Payments,IF(AND(Pay_Num&lt;&gt;"",Beg_Bal2-Sched_Pay&gt;0),Beg_Bal2-Sched_Pay,IF(Pay_Num&lt;&gt;"",0,""))))</f>
        <v>#VALUE!</v>
      </c>
      <c r="G52" s="417"/>
      <c r="H52" s="417" t="e">
        <f t="shared" si="11"/>
        <v>#VALUE!</v>
      </c>
      <c r="I52" s="415" t="e">
        <f>IF(scheduled_no_payments=1,"",IF(Sched_Pay+Extra_Pay2&lt;Beg_Bal2,Sched_Pay+Extra_Pay2,IF(Pay_Num&lt;&gt;"",Beg_Bal2,"")))</f>
        <v>#VALUE!</v>
      </c>
      <c r="J52" s="415" t="str">
        <f t="shared" si="12"/>
        <v/>
      </c>
      <c r="K52" s="415" t="str">
        <f>IF(Pay_Num&lt;&gt;"",Beg_Bal2*(InterestRate/VLOOKUP(Interval,LoanLookup[],5,FALSE)),"")</f>
        <v/>
      </c>
      <c r="L52" s="415" t="e">
        <f t="shared" si="9"/>
        <v>#VALUE!</v>
      </c>
      <c r="M52" s="415" t="e">
        <f>IF(scheduled_no_payments=1,"",SUM($K$28:$K52))</f>
        <v>#VALUE!</v>
      </c>
      <c r="N52" s="420"/>
    </row>
    <row r="53" spans="2:14" ht="16.5" customHeight="1" x14ac:dyDescent="0.45">
      <c r="B53" s="413" t="str">
        <f>IF(AND(Values_Entered,scheduled_no_payments&lt;&gt;1),B52+1,"")</f>
        <v/>
      </c>
      <c r="C53" s="414" t="str">
        <f>IF(Pay_Num&lt;&gt;"",DATE(YEAR(C52)+VLOOKUP(Interval,LoanLookup[#Data],4,FALSE),MONTH(C52)+VLOOKUP(Interval,LoanLookup[#Data],2,FALSE),DAY(C52)+VLOOKUP(Interval,LoanLookup[#Data],3,FALSE)),"")</f>
        <v/>
      </c>
      <c r="D53" s="415" t="str">
        <f t="shared" si="8"/>
        <v/>
      </c>
      <c r="E53" s="416" t="str">
        <f t="shared" si="10"/>
        <v/>
      </c>
      <c r="F53" s="417" t="e">
        <f>IF(scheduled_no_payments=1,"",IF(Sched_Pay+Scheduled_Extra_Payments&lt;Beg_Bal2,Scheduled_Extra_Payments,IF(AND(Pay_Num&lt;&gt;"",Beg_Bal2-Sched_Pay&gt;0),Beg_Bal2-Sched_Pay,IF(Pay_Num&lt;&gt;"",0,""))))</f>
        <v>#VALUE!</v>
      </c>
      <c r="G53" s="417"/>
      <c r="H53" s="417" t="e">
        <f t="shared" si="11"/>
        <v>#VALUE!</v>
      </c>
      <c r="I53" s="415" t="e">
        <f>IF(scheduled_no_payments=1,"",IF(Sched_Pay+Extra_Pay2&lt;Beg_Bal2,Sched_Pay+Extra_Pay2,IF(Pay_Num&lt;&gt;"",Beg_Bal2,"")))</f>
        <v>#VALUE!</v>
      </c>
      <c r="J53" s="415" t="str">
        <f t="shared" si="12"/>
        <v/>
      </c>
      <c r="K53" s="415" t="str">
        <f>IF(Pay_Num&lt;&gt;"",Beg_Bal2*(InterestRate/VLOOKUP(Interval,LoanLookup[],5,FALSE)),"")</f>
        <v/>
      </c>
      <c r="L53" s="415" t="e">
        <f t="shared" si="9"/>
        <v>#VALUE!</v>
      </c>
      <c r="M53" s="415" t="e">
        <f>IF(scheduled_no_payments=1,"",SUM($K$28:$K53))</f>
        <v>#VALUE!</v>
      </c>
      <c r="N53" s="420"/>
    </row>
    <row r="54" spans="2:14" ht="16.5" customHeight="1" x14ac:dyDescent="0.45">
      <c r="B54" s="413" t="str">
        <f>IF(AND(Values_Entered,scheduled_no_payments&lt;&gt;1),B53+1,"")</f>
        <v/>
      </c>
      <c r="C54" s="414" t="str">
        <f>IF(Pay_Num&lt;&gt;"",DATE(YEAR(C53)+VLOOKUP(Interval,LoanLookup[#Data],4,FALSE),MONTH(C53)+VLOOKUP(Interval,LoanLookup[#Data],2,FALSE),DAY(C53)+VLOOKUP(Interval,LoanLookup[#Data],3,FALSE)),"")</f>
        <v/>
      </c>
      <c r="D54" s="415" t="str">
        <f t="shared" si="8"/>
        <v/>
      </c>
      <c r="E54" s="416" t="str">
        <f t="shared" si="10"/>
        <v/>
      </c>
      <c r="F54" s="417" t="e">
        <f>IF(scheduled_no_payments=1,"",IF(Sched_Pay+Scheduled_Extra_Payments&lt;Beg_Bal2,Scheduled_Extra_Payments,IF(AND(Pay_Num&lt;&gt;"",Beg_Bal2-Sched_Pay&gt;0),Beg_Bal2-Sched_Pay,IF(Pay_Num&lt;&gt;"",0,""))))</f>
        <v>#VALUE!</v>
      </c>
      <c r="G54" s="417"/>
      <c r="H54" s="417" t="e">
        <f t="shared" si="11"/>
        <v>#VALUE!</v>
      </c>
      <c r="I54" s="415" t="e">
        <f>IF(scheduled_no_payments=1,"",IF(Sched_Pay+Extra_Pay2&lt;Beg_Bal2,Sched_Pay+Extra_Pay2,IF(Pay_Num&lt;&gt;"",Beg_Bal2,"")))</f>
        <v>#VALUE!</v>
      </c>
      <c r="J54" s="415" t="str">
        <f t="shared" si="12"/>
        <v/>
      </c>
      <c r="K54" s="415" t="str">
        <f>IF(Pay_Num&lt;&gt;"",Beg_Bal2*(InterestRate/VLOOKUP(Interval,LoanLookup[],5,FALSE)),"")</f>
        <v/>
      </c>
      <c r="L54" s="415" t="e">
        <f t="shared" si="9"/>
        <v>#VALUE!</v>
      </c>
      <c r="M54" s="415" t="e">
        <f>IF(scheduled_no_payments=1,"",SUM($K$28:$K54))</f>
        <v>#VALUE!</v>
      </c>
      <c r="N54" s="420"/>
    </row>
    <row r="55" spans="2:14" ht="16.5" customHeight="1" x14ac:dyDescent="0.45">
      <c r="B55" s="413" t="str">
        <f>IF(AND(Values_Entered,scheduled_no_payments&lt;&gt;1),B54+1,"")</f>
        <v/>
      </c>
      <c r="C55" s="414" t="str">
        <f>IF(Pay_Num&lt;&gt;"",DATE(YEAR(C54)+VLOOKUP(Interval,LoanLookup[#Data],4,FALSE),MONTH(C54)+VLOOKUP(Interval,LoanLookup[#Data],2,FALSE),DAY(C54)+VLOOKUP(Interval,LoanLookup[#Data],3,FALSE)),"")</f>
        <v/>
      </c>
      <c r="D55" s="415" t="str">
        <f t="shared" si="8"/>
        <v/>
      </c>
      <c r="E55" s="416" t="str">
        <f t="shared" si="10"/>
        <v/>
      </c>
      <c r="F55" s="417" t="e">
        <f>IF(scheduled_no_payments=1,"",IF(Sched_Pay+Scheduled_Extra_Payments&lt;Beg_Bal2,Scheduled_Extra_Payments,IF(AND(Pay_Num&lt;&gt;"",Beg_Bal2-Sched_Pay&gt;0),Beg_Bal2-Sched_Pay,IF(Pay_Num&lt;&gt;"",0,""))))</f>
        <v>#VALUE!</v>
      </c>
      <c r="G55" s="417"/>
      <c r="H55" s="417" t="e">
        <f t="shared" si="11"/>
        <v>#VALUE!</v>
      </c>
      <c r="I55" s="415" t="e">
        <f>IF(scheduled_no_payments=1,"",IF(Sched_Pay+Extra_Pay2&lt;Beg_Bal2,Sched_Pay+Extra_Pay2,IF(Pay_Num&lt;&gt;"",Beg_Bal2,"")))</f>
        <v>#VALUE!</v>
      </c>
      <c r="J55" s="415" t="str">
        <f t="shared" si="12"/>
        <v/>
      </c>
      <c r="K55" s="415" t="str">
        <f>IF(Pay_Num&lt;&gt;"",Beg_Bal2*(InterestRate/VLOOKUP(Interval,LoanLookup[],5,FALSE)),"")</f>
        <v/>
      </c>
      <c r="L55" s="415" t="e">
        <f t="shared" si="9"/>
        <v>#VALUE!</v>
      </c>
      <c r="M55" s="415" t="e">
        <f>IF(scheduled_no_payments=1,"",SUM($K$28:$K55))</f>
        <v>#VALUE!</v>
      </c>
      <c r="N55" s="420"/>
    </row>
    <row r="56" spans="2:14" ht="16.5" customHeight="1" x14ac:dyDescent="0.45">
      <c r="B56" s="413" t="str">
        <f>IF(AND(Values_Entered,scheduled_no_payments&lt;&gt;1),B55+1,"")</f>
        <v/>
      </c>
      <c r="C56" s="414" t="str">
        <f>IF(Pay_Num&lt;&gt;"",DATE(YEAR(C55)+VLOOKUP(Interval,LoanLookup[#Data],4,FALSE),MONTH(C55)+VLOOKUP(Interval,LoanLookup[#Data],2,FALSE),DAY(C55)+VLOOKUP(Interval,LoanLookup[#Data],3,FALSE)),"")</f>
        <v/>
      </c>
      <c r="D56" s="415" t="str">
        <f t="shared" si="8"/>
        <v/>
      </c>
      <c r="E56" s="416" t="str">
        <f t="shared" si="10"/>
        <v/>
      </c>
      <c r="F56" s="417" t="e">
        <f>IF(scheduled_no_payments=1,"",IF(Sched_Pay+Scheduled_Extra_Payments&lt;Beg_Bal2,Scheduled_Extra_Payments,IF(AND(Pay_Num&lt;&gt;"",Beg_Bal2-Sched_Pay&gt;0),Beg_Bal2-Sched_Pay,IF(Pay_Num&lt;&gt;"",0,""))))</f>
        <v>#VALUE!</v>
      </c>
      <c r="G56" s="417"/>
      <c r="H56" s="417" t="e">
        <f t="shared" si="11"/>
        <v>#VALUE!</v>
      </c>
      <c r="I56" s="415" t="e">
        <f>IF(scheduled_no_payments=1,"",IF(Sched_Pay+Extra_Pay2&lt;Beg_Bal2,Sched_Pay+Extra_Pay2,IF(Pay_Num&lt;&gt;"",Beg_Bal2,"")))</f>
        <v>#VALUE!</v>
      </c>
      <c r="J56" s="415" t="str">
        <f t="shared" si="12"/>
        <v/>
      </c>
      <c r="K56" s="415" t="str">
        <f>IF(Pay_Num&lt;&gt;"",Beg_Bal2*(InterestRate/VLOOKUP(Interval,LoanLookup[],5,FALSE)),"")</f>
        <v/>
      </c>
      <c r="L56" s="415" t="e">
        <f t="shared" si="9"/>
        <v>#VALUE!</v>
      </c>
      <c r="M56" s="415" t="e">
        <f>IF(scheduled_no_payments=1,"",SUM($K$28:$K56))</f>
        <v>#VALUE!</v>
      </c>
      <c r="N56" s="420"/>
    </row>
    <row r="57" spans="2:14" ht="16.5" customHeight="1" x14ac:dyDescent="0.45">
      <c r="B57" s="413" t="str">
        <f>IF(AND(Values_Entered,scheduled_no_payments&lt;&gt;1),B56+1,"")</f>
        <v/>
      </c>
      <c r="C57" s="414" t="str">
        <f>IF(Pay_Num&lt;&gt;"",DATE(YEAR(C56)+VLOOKUP(Interval,LoanLookup[#Data],4,FALSE),MONTH(C56)+VLOOKUP(Interval,LoanLookup[#Data],2,FALSE),DAY(C56)+VLOOKUP(Interval,LoanLookup[#Data],3,FALSE)),"")</f>
        <v/>
      </c>
      <c r="D57" s="415" t="str">
        <f t="shared" si="8"/>
        <v/>
      </c>
      <c r="E57" s="416" t="str">
        <f t="shared" si="10"/>
        <v/>
      </c>
      <c r="F57" s="417" t="e">
        <f>IF(scheduled_no_payments=1,"",IF(Sched_Pay+Scheduled_Extra_Payments&lt;Beg_Bal2,Scheduled_Extra_Payments,IF(AND(Pay_Num&lt;&gt;"",Beg_Bal2-Sched_Pay&gt;0),Beg_Bal2-Sched_Pay,IF(Pay_Num&lt;&gt;"",0,""))))</f>
        <v>#VALUE!</v>
      </c>
      <c r="G57" s="417"/>
      <c r="H57" s="417" t="e">
        <f t="shared" si="11"/>
        <v>#VALUE!</v>
      </c>
      <c r="I57" s="415" t="e">
        <f>IF(scheduled_no_payments=1,"",IF(Sched_Pay+Extra_Pay2&lt;Beg_Bal2,Sched_Pay+Extra_Pay2,IF(Pay_Num&lt;&gt;"",Beg_Bal2,"")))</f>
        <v>#VALUE!</v>
      </c>
      <c r="J57" s="415" t="str">
        <f t="shared" si="12"/>
        <v/>
      </c>
      <c r="K57" s="415" t="str">
        <f>IF(Pay_Num&lt;&gt;"",Beg_Bal2*(InterestRate/VLOOKUP(Interval,LoanLookup[],5,FALSE)),"")</f>
        <v/>
      </c>
      <c r="L57" s="415" t="e">
        <f t="shared" si="9"/>
        <v>#VALUE!</v>
      </c>
      <c r="M57" s="415" t="e">
        <f>IF(scheduled_no_payments=1,"",SUM($K$28:$K57))</f>
        <v>#VALUE!</v>
      </c>
      <c r="N57" s="420"/>
    </row>
    <row r="58" spans="2:14" ht="16.5" customHeight="1" x14ac:dyDescent="0.45">
      <c r="B58" s="413" t="str">
        <f>IF(AND(Values_Entered,scheduled_no_payments&lt;&gt;1),B57+1,"")</f>
        <v/>
      </c>
      <c r="C58" s="414" t="str">
        <f>IF(Pay_Num&lt;&gt;"",DATE(YEAR(C57)+VLOOKUP(Interval,LoanLookup[#Data],4,FALSE),MONTH(C57)+VLOOKUP(Interval,LoanLookup[#Data],2,FALSE),DAY(C57)+VLOOKUP(Interval,LoanLookup[#Data],3,FALSE)),"")</f>
        <v/>
      </c>
      <c r="D58" s="415" t="str">
        <f t="shared" si="8"/>
        <v/>
      </c>
      <c r="E58" s="416" t="str">
        <f t="shared" si="10"/>
        <v/>
      </c>
      <c r="F58" s="417" t="e">
        <f>IF(scheduled_no_payments=1,"",IF(Sched_Pay+Scheduled_Extra_Payments&lt;Beg_Bal2,Scheduled_Extra_Payments,IF(AND(Pay_Num&lt;&gt;"",Beg_Bal2-Sched_Pay&gt;0),Beg_Bal2-Sched_Pay,IF(Pay_Num&lt;&gt;"",0,""))))</f>
        <v>#VALUE!</v>
      </c>
      <c r="G58" s="417"/>
      <c r="H58" s="417" t="e">
        <f t="shared" si="11"/>
        <v>#VALUE!</v>
      </c>
      <c r="I58" s="415" t="e">
        <f>IF(scheduled_no_payments=1,"",IF(Sched_Pay+Extra_Pay2&lt;Beg_Bal2,Sched_Pay+Extra_Pay2,IF(Pay_Num&lt;&gt;"",Beg_Bal2,"")))</f>
        <v>#VALUE!</v>
      </c>
      <c r="J58" s="415" t="str">
        <f t="shared" si="12"/>
        <v/>
      </c>
      <c r="K58" s="415" t="str">
        <f>IF(Pay_Num&lt;&gt;"",Beg_Bal2*(InterestRate/VLOOKUP(Interval,LoanLookup[],5,FALSE)),"")</f>
        <v/>
      </c>
      <c r="L58" s="415" t="e">
        <f t="shared" si="9"/>
        <v>#VALUE!</v>
      </c>
      <c r="M58" s="415" t="e">
        <f>IF(scheduled_no_payments=1,"",SUM($K$28:$K58))</f>
        <v>#VALUE!</v>
      </c>
      <c r="N58" s="420"/>
    </row>
    <row r="59" spans="2:14" ht="16.5" customHeight="1" x14ac:dyDescent="0.45">
      <c r="B59" s="413" t="str">
        <f>IF(AND(Values_Entered,scheduled_no_payments&lt;&gt;1),B58+1,"")</f>
        <v/>
      </c>
      <c r="C59" s="414" t="str">
        <f>IF(Pay_Num&lt;&gt;"",DATE(YEAR(C58)+VLOOKUP(Interval,LoanLookup[#Data],4,FALSE),MONTH(C58)+VLOOKUP(Interval,LoanLookup[#Data],2,FALSE),DAY(C58)+VLOOKUP(Interval,LoanLookup[#Data],3,FALSE)),"")</f>
        <v/>
      </c>
      <c r="D59" s="415" t="str">
        <f t="shared" si="8"/>
        <v/>
      </c>
      <c r="E59" s="416" t="str">
        <f t="shared" si="10"/>
        <v/>
      </c>
      <c r="F59" s="417" t="e">
        <f>IF(scheduled_no_payments=1,"",IF(Sched_Pay+Scheduled_Extra_Payments&lt;Beg_Bal2,Scheduled_Extra_Payments,IF(AND(Pay_Num&lt;&gt;"",Beg_Bal2-Sched_Pay&gt;0),Beg_Bal2-Sched_Pay,IF(Pay_Num&lt;&gt;"",0,""))))</f>
        <v>#VALUE!</v>
      </c>
      <c r="G59" s="417"/>
      <c r="H59" s="417" t="e">
        <f t="shared" si="11"/>
        <v>#VALUE!</v>
      </c>
      <c r="I59" s="415" t="e">
        <f>IF(scheduled_no_payments=1,"",IF(Sched_Pay+Extra_Pay2&lt;Beg_Bal2,Sched_Pay+Extra_Pay2,IF(Pay_Num&lt;&gt;"",Beg_Bal2,"")))</f>
        <v>#VALUE!</v>
      </c>
      <c r="J59" s="415" t="str">
        <f t="shared" si="12"/>
        <v/>
      </c>
      <c r="K59" s="415" t="str">
        <f>IF(Pay_Num&lt;&gt;"",Beg_Bal2*(InterestRate/VLOOKUP(Interval,LoanLookup[],5,FALSE)),"")</f>
        <v/>
      </c>
      <c r="L59" s="415" t="e">
        <f t="shared" si="9"/>
        <v>#VALUE!</v>
      </c>
      <c r="M59" s="415" t="e">
        <f>IF(scheduled_no_payments=1,"",SUM($K$28:$K59))</f>
        <v>#VALUE!</v>
      </c>
      <c r="N59" s="420"/>
    </row>
    <row r="60" spans="2:14" ht="16.5" customHeight="1" x14ac:dyDescent="0.45">
      <c r="B60" s="413" t="str">
        <f>IF(AND(Values_Entered,scheduled_no_payments&lt;&gt;1),B59+1,"")</f>
        <v/>
      </c>
      <c r="C60" s="414" t="str">
        <f>IF(Pay_Num&lt;&gt;"",DATE(YEAR(C59)+VLOOKUP(Interval,LoanLookup[#Data],4,FALSE),MONTH(C59)+VLOOKUP(Interval,LoanLookup[#Data],2,FALSE),DAY(C59)+VLOOKUP(Interval,LoanLookup[#Data],3,FALSE)),"")</f>
        <v/>
      </c>
      <c r="D60" s="415" t="str">
        <f t="shared" si="8"/>
        <v/>
      </c>
      <c r="E60" s="416" t="str">
        <f t="shared" si="10"/>
        <v/>
      </c>
      <c r="F60" s="417" t="e">
        <f>IF(scheduled_no_payments=1,"",IF(Sched_Pay+Scheduled_Extra_Payments&lt;Beg_Bal2,Scheduled_Extra_Payments,IF(AND(Pay_Num&lt;&gt;"",Beg_Bal2-Sched_Pay&gt;0),Beg_Bal2-Sched_Pay,IF(Pay_Num&lt;&gt;"",0,""))))</f>
        <v>#VALUE!</v>
      </c>
      <c r="G60" s="417"/>
      <c r="H60" s="417" t="e">
        <f t="shared" si="11"/>
        <v>#VALUE!</v>
      </c>
      <c r="I60" s="415" t="e">
        <f>IF(scheduled_no_payments=1,"",IF(Sched_Pay+Extra_Pay2&lt;Beg_Bal2,Sched_Pay+Extra_Pay2,IF(Pay_Num&lt;&gt;"",Beg_Bal2,"")))</f>
        <v>#VALUE!</v>
      </c>
      <c r="J60" s="415" t="str">
        <f t="shared" si="12"/>
        <v/>
      </c>
      <c r="K60" s="415" t="str">
        <f>IF(Pay_Num&lt;&gt;"",Beg_Bal2*(InterestRate/VLOOKUP(Interval,LoanLookup[],5,FALSE)),"")</f>
        <v/>
      </c>
      <c r="L60" s="415" t="e">
        <f t="shared" si="9"/>
        <v>#VALUE!</v>
      </c>
      <c r="M60" s="415" t="e">
        <f>IF(scheduled_no_payments=1,"",SUM($K$28:$K60))</f>
        <v>#VALUE!</v>
      </c>
      <c r="N60" s="420"/>
    </row>
    <row r="61" spans="2:14" ht="16.5" customHeight="1" x14ac:dyDescent="0.45">
      <c r="B61" s="413" t="str">
        <f>IF(AND(Values_Entered,scheduled_no_payments&lt;&gt;1),B60+1,"")</f>
        <v/>
      </c>
      <c r="C61" s="414" t="str">
        <f>IF(Pay_Num&lt;&gt;"",DATE(YEAR(C60)+VLOOKUP(Interval,LoanLookup[#Data],4,FALSE),MONTH(C60)+VLOOKUP(Interval,LoanLookup[#Data],2,FALSE),DAY(C60)+VLOOKUP(Interval,LoanLookup[#Data],3,FALSE)),"")</f>
        <v/>
      </c>
      <c r="D61" s="415" t="str">
        <f t="shared" ref="D61:D92" si="13">IF(Pay_Num&lt;&gt;"",L60,"")</f>
        <v/>
      </c>
      <c r="E61" s="416" t="str">
        <f t="shared" si="10"/>
        <v/>
      </c>
      <c r="F61" s="417" t="e">
        <f>IF(scheduled_no_payments=1,"",IF(Sched_Pay+Scheduled_Extra_Payments&lt;Beg_Bal2,Scheduled_Extra_Payments,IF(AND(Pay_Num&lt;&gt;"",Beg_Bal2-Sched_Pay&gt;0),Beg_Bal2-Sched_Pay,IF(Pay_Num&lt;&gt;"",0,""))))</f>
        <v>#VALUE!</v>
      </c>
      <c r="G61" s="417"/>
      <c r="H61" s="417" t="e">
        <f t="shared" si="11"/>
        <v>#VALUE!</v>
      </c>
      <c r="I61" s="415" t="e">
        <f>IF(scheduled_no_payments=1,"",IF(Sched_Pay+Extra_Pay2&lt;Beg_Bal2,Sched_Pay+Extra_Pay2,IF(Pay_Num&lt;&gt;"",Beg_Bal2,"")))</f>
        <v>#VALUE!</v>
      </c>
      <c r="J61" s="415" t="str">
        <f t="shared" si="12"/>
        <v/>
      </c>
      <c r="K61" s="415" t="str">
        <f>IF(Pay_Num&lt;&gt;"",Beg_Bal2*(InterestRate/VLOOKUP(Interval,LoanLookup[],5,FALSE)),"")</f>
        <v/>
      </c>
      <c r="L61" s="415" t="e">
        <f t="shared" si="9"/>
        <v>#VALUE!</v>
      </c>
      <c r="M61" s="415" t="e">
        <f>IF(scheduled_no_payments=1,"",SUM($K$28:$K61))</f>
        <v>#VALUE!</v>
      </c>
      <c r="N61" s="420"/>
    </row>
    <row r="62" spans="2:14" ht="16.5" customHeight="1" x14ac:dyDescent="0.45">
      <c r="B62" s="413" t="str">
        <f>IF(AND(Values_Entered,scheduled_no_payments&lt;&gt;1),B61+1,"")</f>
        <v/>
      </c>
      <c r="C62" s="414" t="str">
        <f>IF(Pay_Num&lt;&gt;"",DATE(YEAR(C61)+VLOOKUP(Interval,LoanLookup[#Data],4,FALSE),MONTH(C61)+VLOOKUP(Interval,LoanLookup[#Data],2,FALSE),DAY(C61)+VLOOKUP(Interval,LoanLookup[#Data],3,FALSE)),"")</f>
        <v/>
      </c>
      <c r="D62" s="415" t="str">
        <f t="shared" si="13"/>
        <v/>
      </c>
      <c r="E62" s="416" t="str">
        <f t="shared" si="10"/>
        <v/>
      </c>
      <c r="F62" s="417" t="e">
        <f>IF(scheduled_no_payments=1,"",IF(Sched_Pay+Scheduled_Extra_Payments&lt;Beg_Bal2,Scheduled_Extra_Payments,IF(AND(Pay_Num&lt;&gt;"",Beg_Bal2-Sched_Pay&gt;0),Beg_Bal2-Sched_Pay,IF(Pay_Num&lt;&gt;"",0,""))))</f>
        <v>#VALUE!</v>
      </c>
      <c r="G62" s="417"/>
      <c r="H62" s="417" t="e">
        <f t="shared" si="11"/>
        <v>#VALUE!</v>
      </c>
      <c r="I62" s="415" t="e">
        <f>IF(scheduled_no_payments=1,"",IF(Sched_Pay+Extra_Pay2&lt;Beg_Bal2,Sched_Pay+Extra_Pay2,IF(Pay_Num&lt;&gt;"",Beg_Bal2,"")))</f>
        <v>#VALUE!</v>
      </c>
      <c r="J62" s="415" t="str">
        <f t="shared" si="12"/>
        <v/>
      </c>
      <c r="K62" s="415" t="str">
        <f>IF(Pay_Num&lt;&gt;"",Beg_Bal2*(InterestRate/VLOOKUP(Interval,LoanLookup[],5,FALSE)),"")</f>
        <v/>
      </c>
      <c r="L62" s="415" t="e">
        <f t="shared" si="9"/>
        <v>#VALUE!</v>
      </c>
      <c r="M62" s="415" t="e">
        <f>IF(scheduled_no_payments=1,"",SUM($K$28:$K62))</f>
        <v>#VALUE!</v>
      </c>
      <c r="N62" s="420"/>
    </row>
    <row r="63" spans="2:14" ht="16.5" customHeight="1" x14ac:dyDescent="0.45">
      <c r="B63" s="413" t="str">
        <f>IF(AND(Values_Entered,scheduled_no_payments&lt;&gt;1),B62+1,"")</f>
        <v/>
      </c>
      <c r="C63" s="414" t="str">
        <f>IF(Pay_Num&lt;&gt;"",DATE(YEAR(C62)+VLOOKUP(Interval,LoanLookup[#Data],4,FALSE),MONTH(C62)+VLOOKUP(Interval,LoanLookup[#Data],2,FALSE),DAY(C62)+VLOOKUP(Interval,LoanLookup[#Data],3,FALSE)),"")</f>
        <v/>
      </c>
      <c r="D63" s="415" t="str">
        <f t="shared" si="13"/>
        <v/>
      </c>
      <c r="E63" s="416" t="str">
        <f t="shared" si="10"/>
        <v/>
      </c>
      <c r="F63" s="417" t="e">
        <f>IF(scheduled_no_payments=1,"",IF(Sched_Pay+Scheduled_Extra_Payments&lt;Beg_Bal2,Scheduled_Extra_Payments,IF(AND(Pay_Num&lt;&gt;"",Beg_Bal2-Sched_Pay&gt;0),Beg_Bal2-Sched_Pay,IF(Pay_Num&lt;&gt;"",0,""))))</f>
        <v>#VALUE!</v>
      </c>
      <c r="G63" s="417"/>
      <c r="H63" s="417" t="e">
        <f t="shared" si="11"/>
        <v>#VALUE!</v>
      </c>
      <c r="I63" s="415" t="e">
        <f>IF(scheduled_no_payments=1,"",IF(Sched_Pay+Extra_Pay2&lt;Beg_Bal2,Sched_Pay+Extra_Pay2,IF(Pay_Num&lt;&gt;"",Beg_Bal2,"")))</f>
        <v>#VALUE!</v>
      </c>
      <c r="J63" s="415" t="str">
        <f t="shared" si="12"/>
        <v/>
      </c>
      <c r="K63" s="415" t="str">
        <f>IF(Pay_Num&lt;&gt;"",Beg_Bal2*(InterestRate/VLOOKUP(Interval,LoanLookup[],5,FALSE)),"")</f>
        <v/>
      </c>
      <c r="L63" s="415" t="e">
        <f t="shared" si="9"/>
        <v>#VALUE!</v>
      </c>
      <c r="M63" s="415" t="e">
        <f>IF(scheduled_no_payments=1,"",SUM($K$28:$K63))</f>
        <v>#VALUE!</v>
      </c>
      <c r="N63" s="420"/>
    </row>
    <row r="64" spans="2:14" ht="16.5" customHeight="1" x14ac:dyDescent="0.45">
      <c r="B64" s="413" t="str">
        <f>IF(AND(Values_Entered,scheduled_no_payments&lt;&gt;1),B63+1,"")</f>
        <v/>
      </c>
      <c r="C64" s="414" t="str">
        <f>IF(Pay_Num&lt;&gt;"",DATE(YEAR(C63)+VLOOKUP(Interval,LoanLookup[#Data],4,FALSE),MONTH(C63)+VLOOKUP(Interval,LoanLookup[#Data],2,FALSE),DAY(C63)+VLOOKUP(Interval,LoanLookup[#Data],3,FALSE)),"")</f>
        <v/>
      </c>
      <c r="D64" s="415" t="str">
        <f t="shared" si="13"/>
        <v/>
      </c>
      <c r="E64" s="416" t="str">
        <f t="shared" si="10"/>
        <v/>
      </c>
      <c r="F64" s="417" t="e">
        <f>IF(scheduled_no_payments=1,"",IF(Sched_Pay+Scheduled_Extra_Payments&lt;Beg_Bal2,Scheduled_Extra_Payments,IF(AND(Pay_Num&lt;&gt;"",Beg_Bal2-Sched_Pay&gt;0),Beg_Bal2-Sched_Pay,IF(Pay_Num&lt;&gt;"",0,""))))</f>
        <v>#VALUE!</v>
      </c>
      <c r="G64" s="417"/>
      <c r="H64" s="417" t="e">
        <f t="shared" si="11"/>
        <v>#VALUE!</v>
      </c>
      <c r="I64" s="415" t="e">
        <f>IF(scheduled_no_payments=1,"",IF(Sched_Pay+Extra_Pay2&lt;Beg_Bal2,Sched_Pay+Extra_Pay2,IF(Pay_Num&lt;&gt;"",Beg_Bal2,"")))</f>
        <v>#VALUE!</v>
      </c>
      <c r="J64" s="415" t="str">
        <f t="shared" si="12"/>
        <v/>
      </c>
      <c r="K64" s="415" t="str">
        <f>IF(Pay_Num&lt;&gt;"",Beg_Bal2*(InterestRate/VLOOKUP(Interval,LoanLookup[],5,FALSE)),"")</f>
        <v/>
      </c>
      <c r="L64" s="415" t="e">
        <f t="shared" si="9"/>
        <v>#VALUE!</v>
      </c>
      <c r="M64" s="415" t="e">
        <f>IF(scheduled_no_payments=1,"",SUM($K$28:$K64))</f>
        <v>#VALUE!</v>
      </c>
      <c r="N64" s="420"/>
    </row>
    <row r="65" spans="2:14" ht="16.5" customHeight="1" x14ac:dyDescent="0.45">
      <c r="B65" s="413" t="str">
        <f>IF(AND(Values_Entered,scheduled_no_payments&lt;&gt;1),B64+1,"")</f>
        <v/>
      </c>
      <c r="C65" s="414" t="str">
        <f>IF(Pay_Num&lt;&gt;"",DATE(YEAR(C64)+VLOOKUP(Interval,LoanLookup[#Data],4,FALSE),MONTH(C64)+VLOOKUP(Interval,LoanLookup[#Data],2,FALSE),DAY(C64)+VLOOKUP(Interval,LoanLookup[#Data],3,FALSE)),"")</f>
        <v/>
      </c>
      <c r="D65" s="415" t="str">
        <f t="shared" si="13"/>
        <v/>
      </c>
      <c r="E65" s="416" t="str">
        <f t="shared" si="10"/>
        <v/>
      </c>
      <c r="F65" s="417" t="e">
        <f>IF(scheduled_no_payments=1,"",IF(Sched_Pay+Scheduled_Extra_Payments&lt;Beg_Bal2,Scheduled_Extra_Payments,IF(AND(Pay_Num&lt;&gt;"",Beg_Bal2-Sched_Pay&gt;0),Beg_Bal2-Sched_Pay,IF(Pay_Num&lt;&gt;"",0,""))))</f>
        <v>#VALUE!</v>
      </c>
      <c r="G65" s="417"/>
      <c r="H65" s="417" t="e">
        <f t="shared" si="11"/>
        <v>#VALUE!</v>
      </c>
      <c r="I65" s="415" t="e">
        <f>IF(scheduled_no_payments=1,"",IF(Sched_Pay+Extra_Pay2&lt;Beg_Bal2,Sched_Pay+Extra_Pay2,IF(Pay_Num&lt;&gt;"",Beg_Bal2,"")))</f>
        <v>#VALUE!</v>
      </c>
      <c r="J65" s="415" t="str">
        <f t="shared" si="12"/>
        <v/>
      </c>
      <c r="K65" s="415" t="str">
        <f>IF(Pay_Num&lt;&gt;"",Beg_Bal2*(InterestRate/VLOOKUP(Interval,LoanLookup[],5,FALSE)),"")</f>
        <v/>
      </c>
      <c r="L65" s="415" t="e">
        <f t="shared" si="9"/>
        <v>#VALUE!</v>
      </c>
      <c r="M65" s="415" t="e">
        <f>IF(scheduled_no_payments=1,"",SUM($K$28:$K65))</f>
        <v>#VALUE!</v>
      </c>
      <c r="N65" s="420"/>
    </row>
    <row r="66" spans="2:14" ht="16.5" customHeight="1" x14ac:dyDescent="0.45">
      <c r="B66" s="413" t="str">
        <f>IF(AND(Values_Entered,scheduled_no_payments&lt;&gt;1),B65+1,"")</f>
        <v/>
      </c>
      <c r="C66" s="414" t="str">
        <f>IF(Pay_Num&lt;&gt;"",DATE(YEAR(C65)+VLOOKUP(Interval,LoanLookup[#Data],4,FALSE),MONTH(C65)+VLOOKUP(Interval,LoanLookup[#Data],2,FALSE),DAY(C65)+VLOOKUP(Interval,LoanLookup[#Data],3,FALSE)),"")</f>
        <v/>
      </c>
      <c r="D66" s="415" t="str">
        <f t="shared" si="13"/>
        <v/>
      </c>
      <c r="E66" s="416" t="str">
        <f t="shared" si="10"/>
        <v/>
      </c>
      <c r="F66" s="417" t="e">
        <f>IF(scheduled_no_payments=1,"",IF(Sched_Pay+Scheduled_Extra_Payments&lt;Beg_Bal2,Scheduled_Extra_Payments,IF(AND(Pay_Num&lt;&gt;"",Beg_Bal2-Sched_Pay&gt;0),Beg_Bal2-Sched_Pay,IF(Pay_Num&lt;&gt;"",0,""))))</f>
        <v>#VALUE!</v>
      </c>
      <c r="G66" s="417"/>
      <c r="H66" s="417" t="e">
        <f t="shared" si="11"/>
        <v>#VALUE!</v>
      </c>
      <c r="I66" s="415" t="e">
        <f>IF(scheduled_no_payments=1,"",IF(Sched_Pay+Extra_Pay2&lt;Beg_Bal2,Sched_Pay+Extra_Pay2,IF(Pay_Num&lt;&gt;"",Beg_Bal2,"")))</f>
        <v>#VALUE!</v>
      </c>
      <c r="J66" s="415" t="str">
        <f t="shared" si="12"/>
        <v/>
      </c>
      <c r="K66" s="415" t="str">
        <f>IF(Pay_Num&lt;&gt;"",Beg_Bal2*(InterestRate/VLOOKUP(Interval,LoanLookup[],5,FALSE)),"")</f>
        <v/>
      </c>
      <c r="L66" s="415" t="e">
        <f t="shared" si="9"/>
        <v>#VALUE!</v>
      </c>
      <c r="M66" s="415" t="e">
        <f>IF(scheduled_no_payments=1,"",SUM($K$28:$K66))</f>
        <v>#VALUE!</v>
      </c>
      <c r="N66" s="420"/>
    </row>
    <row r="67" spans="2:14" ht="16.5" customHeight="1" x14ac:dyDescent="0.45">
      <c r="B67" s="413" t="str">
        <f>IF(AND(Values_Entered,scheduled_no_payments&lt;&gt;1),B66+1,"")</f>
        <v/>
      </c>
      <c r="C67" s="414" t="str">
        <f>IF(Pay_Num&lt;&gt;"",DATE(YEAR(C66)+VLOOKUP(Interval,LoanLookup[#Data],4,FALSE),MONTH(C66)+VLOOKUP(Interval,LoanLookup[#Data],2,FALSE),DAY(C66)+VLOOKUP(Interval,LoanLookup[#Data],3,FALSE)),"")</f>
        <v/>
      </c>
      <c r="D67" s="415" t="str">
        <f t="shared" si="13"/>
        <v/>
      </c>
      <c r="E67" s="416" t="str">
        <f t="shared" si="10"/>
        <v/>
      </c>
      <c r="F67" s="417" t="e">
        <f>IF(scheduled_no_payments=1,"",IF(Sched_Pay+Scheduled_Extra_Payments&lt;Beg_Bal2,Scheduled_Extra_Payments,IF(AND(Pay_Num&lt;&gt;"",Beg_Bal2-Sched_Pay&gt;0),Beg_Bal2-Sched_Pay,IF(Pay_Num&lt;&gt;"",0,""))))</f>
        <v>#VALUE!</v>
      </c>
      <c r="G67" s="417"/>
      <c r="H67" s="417" t="e">
        <f t="shared" si="11"/>
        <v>#VALUE!</v>
      </c>
      <c r="I67" s="415" t="e">
        <f>IF(scheduled_no_payments=1,"",IF(Sched_Pay+Extra_Pay2&lt;Beg_Bal2,Sched_Pay+Extra_Pay2,IF(Pay_Num&lt;&gt;"",Beg_Bal2,"")))</f>
        <v>#VALUE!</v>
      </c>
      <c r="J67" s="415" t="str">
        <f t="shared" si="12"/>
        <v/>
      </c>
      <c r="K67" s="415" t="str">
        <f>IF(Pay_Num&lt;&gt;"",Beg_Bal2*(InterestRate/VLOOKUP(Interval,LoanLookup[],5,FALSE)),"")</f>
        <v/>
      </c>
      <c r="L67" s="415" t="e">
        <f t="shared" si="9"/>
        <v>#VALUE!</v>
      </c>
      <c r="M67" s="415" t="e">
        <f>IF(scheduled_no_payments=1,"",SUM($K$28:$K67))</f>
        <v>#VALUE!</v>
      </c>
      <c r="N67" s="420"/>
    </row>
    <row r="68" spans="2:14" ht="16.5" customHeight="1" x14ac:dyDescent="0.45">
      <c r="B68" s="413" t="str">
        <f>IF(AND(Values_Entered,scheduled_no_payments&lt;&gt;1),B67+1,"")</f>
        <v/>
      </c>
      <c r="C68" s="414" t="str">
        <f>IF(Pay_Num&lt;&gt;"",DATE(YEAR(C67)+VLOOKUP(Interval,LoanLookup[#Data],4,FALSE),MONTH(C67)+VLOOKUP(Interval,LoanLookup[#Data],2,FALSE),DAY(C67)+VLOOKUP(Interval,LoanLookup[#Data],3,FALSE)),"")</f>
        <v/>
      </c>
      <c r="D68" s="415" t="str">
        <f t="shared" si="13"/>
        <v/>
      </c>
      <c r="E68" s="416" t="str">
        <f t="shared" si="10"/>
        <v/>
      </c>
      <c r="F68" s="417" t="e">
        <f>IF(scheduled_no_payments=1,"",IF(Sched_Pay+Scheduled_Extra_Payments&lt;Beg_Bal2,Scheduled_Extra_Payments,IF(AND(Pay_Num&lt;&gt;"",Beg_Bal2-Sched_Pay&gt;0),Beg_Bal2-Sched_Pay,IF(Pay_Num&lt;&gt;"",0,""))))</f>
        <v>#VALUE!</v>
      </c>
      <c r="G68" s="417"/>
      <c r="H68" s="417" t="e">
        <f t="shared" si="11"/>
        <v>#VALUE!</v>
      </c>
      <c r="I68" s="415" t="e">
        <f>IF(scheduled_no_payments=1,"",IF(Sched_Pay+Extra_Pay2&lt;Beg_Bal2,Sched_Pay+Extra_Pay2,IF(Pay_Num&lt;&gt;"",Beg_Bal2,"")))</f>
        <v>#VALUE!</v>
      </c>
      <c r="J68" s="415" t="str">
        <f t="shared" si="12"/>
        <v/>
      </c>
      <c r="K68" s="415" t="str">
        <f>IF(Pay_Num&lt;&gt;"",Beg_Bal2*(InterestRate/VLOOKUP(Interval,LoanLookup[],5,FALSE)),"")</f>
        <v/>
      </c>
      <c r="L68" s="415" t="e">
        <f t="shared" si="9"/>
        <v>#VALUE!</v>
      </c>
      <c r="M68" s="415" t="e">
        <f>IF(scheduled_no_payments=1,"",SUM($K$28:$K68))</f>
        <v>#VALUE!</v>
      </c>
      <c r="N68" s="420"/>
    </row>
    <row r="69" spans="2:14" ht="16.5" customHeight="1" x14ac:dyDescent="0.45">
      <c r="B69" s="413" t="str">
        <f>IF(AND(Values_Entered,scheduled_no_payments&lt;&gt;1),B68+1,"")</f>
        <v/>
      </c>
      <c r="C69" s="414" t="str">
        <f>IF(Pay_Num&lt;&gt;"",DATE(YEAR(C68)+VLOOKUP(Interval,LoanLookup[#Data],4,FALSE),MONTH(C68)+VLOOKUP(Interval,LoanLookup[#Data],2,FALSE),DAY(C68)+VLOOKUP(Interval,LoanLookup[#Data],3,FALSE)),"")</f>
        <v/>
      </c>
      <c r="D69" s="415" t="str">
        <f t="shared" si="13"/>
        <v/>
      </c>
      <c r="E69" s="416" t="str">
        <f t="shared" si="10"/>
        <v/>
      </c>
      <c r="F69" s="417" t="e">
        <f>IF(scheduled_no_payments=1,"",IF(Sched_Pay+Scheduled_Extra_Payments&lt;Beg_Bal2,Scheduled_Extra_Payments,IF(AND(Pay_Num&lt;&gt;"",Beg_Bal2-Sched_Pay&gt;0),Beg_Bal2-Sched_Pay,IF(Pay_Num&lt;&gt;"",0,""))))</f>
        <v>#VALUE!</v>
      </c>
      <c r="G69" s="417"/>
      <c r="H69" s="417" t="e">
        <f t="shared" si="11"/>
        <v>#VALUE!</v>
      </c>
      <c r="I69" s="415" t="e">
        <f>IF(scheduled_no_payments=1,"",IF(Sched_Pay+Extra_Pay2&lt;Beg_Bal2,Sched_Pay+Extra_Pay2,IF(Pay_Num&lt;&gt;"",Beg_Bal2,"")))</f>
        <v>#VALUE!</v>
      </c>
      <c r="J69" s="415" t="str">
        <f t="shared" si="12"/>
        <v/>
      </c>
      <c r="K69" s="415" t="str">
        <f>IF(Pay_Num&lt;&gt;"",Beg_Bal2*(InterestRate/VLOOKUP(Interval,LoanLookup[],5,FALSE)),"")</f>
        <v/>
      </c>
      <c r="L69" s="415" t="e">
        <f t="shared" si="9"/>
        <v>#VALUE!</v>
      </c>
      <c r="M69" s="415" t="e">
        <f>IF(scheduled_no_payments=1,"",SUM($K$28:$K69))</f>
        <v>#VALUE!</v>
      </c>
      <c r="N69" s="420"/>
    </row>
    <row r="70" spans="2:14" ht="16.5" customHeight="1" x14ac:dyDescent="0.45">
      <c r="B70" s="413" t="str">
        <f>IF(AND(Values_Entered,scheduled_no_payments&lt;&gt;1),B69+1,"")</f>
        <v/>
      </c>
      <c r="C70" s="414" t="str">
        <f>IF(Pay_Num&lt;&gt;"",DATE(YEAR(C69)+VLOOKUP(Interval,LoanLookup[#Data],4,FALSE),MONTH(C69)+VLOOKUP(Interval,LoanLookup[#Data],2,FALSE),DAY(C69)+VLOOKUP(Interval,LoanLookup[#Data],3,FALSE)),"")</f>
        <v/>
      </c>
      <c r="D70" s="415" t="str">
        <f t="shared" si="13"/>
        <v/>
      </c>
      <c r="E70" s="416" t="str">
        <f t="shared" si="10"/>
        <v/>
      </c>
      <c r="F70" s="417" t="e">
        <f>IF(scheduled_no_payments=1,"",IF(Sched_Pay+Scheduled_Extra_Payments&lt;Beg_Bal2,Scheduled_Extra_Payments,IF(AND(Pay_Num&lt;&gt;"",Beg_Bal2-Sched_Pay&gt;0),Beg_Bal2-Sched_Pay,IF(Pay_Num&lt;&gt;"",0,""))))</f>
        <v>#VALUE!</v>
      </c>
      <c r="G70" s="417"/>
      <c r="H70" s="417" t="e">
        <f t="shared" si="11"/>
        <v>#VALUE!</v>
      </c>
      <c r="I70" s="415" t="e">
        <f>IF(scheduled_no_payments=1,"",IF(Sched_Pay+Extra_Pay2&lt;Beg_Bal2,Sched_Pay+Extra_Pay2,IF(Pay_Num&lt;&gt;"",Beg_Bal2,"")))</f>
        <v>#VALUE!</v>
      </c>
      <c r="J70" s="415" t="str">
        <f t="shared" si="12"/>
        <v/>
      </c>
      <c r="K70" s="415" t="str">
        <f>IF(Pay_Num&lt;&gt;"",Beg_Bal2*(InterestRate/VLOOKUP(Interval,LoanLookup[],5,FALSE)),"")</f>
        <v/>
      </c>
      <c r="L70" s="415" t="e">
        <f t="shared" si="9"/>
        <v>#VALUE!</v>
      </c>
      <c r="M70" s="415" t="e">
        <f>IF(scheduled_no_payments=1,"",SUM($K$28:$K70))</f>
        <v>#VALUE!</v>
      </c>
      <c r="N70" s="420"/>
    </row>
    <row r="71" spans="2:14" ht="16.5" customHeight="1" x14ac:dyDescent="0.45">
      <c r="B71" s="413" t="str">
        <f>IF(AND(Values_Entered,scheduled_no_payments&lt;&gt;1),B70+1,"")</f>
        <v/>
      </c>
      <c r="C71" s="414" t="str">
        <f>IF(Pay_Num&lt;&gt;"",DATE(YEAR(C70)+VLOOKUP(Interval,LoanLookup[#Data],4,FALSE),MONTH(C70)+VLOOKUP(Interval,LoanLookup[#Data],2,FALSE),DAY(C70)+VLOOKUP(Interval,LoanLookup[#Data],3,FALSE)),"")</f>
        <v/>
      </c>
      <c r="D71" s="415" t="str">
        <f t="shared" si="13"/>
        <v/>
      </c>
      <c r="E71" s="416" t="str">
        <f t="shared" si="10"/>
        <v/>
      </c>
      <c r="F71" s="417" t="e">
        <f>IF(scheduled_no_payments=1,"",IF(Sched_Pay+Scheduled_Extra_Payments&lt;Beg_Bal2,Scheduled_Extra_Payments,IF(AND(Pay_Num&lt;&gt;"",Beg_Bal2-Sched_Pay&gt;0),Beg_Bal2-Sched_Pay,IF(Pay_Num&lt;&gt;"",0,""))))</f>
        <v>#VALUE!</v>
      </c>
      <c r="G71" s="417"/>
      <c r="H71" s="417" t="e">
        <f t="shared" si="11"/>
        <v>#VALUE!</v>
      </c>
      <c r="I71" s="415" t="e">
        <f>IF(scheduled_no_payments=1,"",IF(Sched_Pay+Extra_Pay2&lt;Beg_Bal2,Sched_Pay+Extra_Pay2,IF(Pay_Num&lt;&gt;"",Beg_Bal2,"")))</f>
        <v>#VALUE!</v>
      </c>
      <c r="J71" s="415" t="str">
        <f t="shared" si="12"/>
        <v/>
      </c>
      <c r="K71" s="415" t="str">
        <f>IF(Pay_Num&lt;&gt;"",Beg_Bal2*(InterestRate/VLOOKUP(Interval,LoanLookup[],5,FALSE)),"")</f>
        <v/>
      </c>
      <c r="L71" s="415" t="e">
        <f t="shared" si="9"/>
        <v>#VALUE!</v>
      </c>
      <c r="M71" s="415" t="e">
        <f>IF(scheduled_no_payments=1,"",SUM($K$28:$K71))</f>
        <v>#VALUE!</v>
      </c>
      <c r="N71" s="420"/>
    </row>
    <row r="72" spans="2:14" ht="16.5" customHeight="1" x14ac:dyDescent="0.45">
      <c r="B72" s="413" t="str">
        <f>IF(AND(Values_Entered,scheduled_no_payments&lt;&gt;1),B71+1,"")</f>
        <v/>
      </c>
      <c r="C72" s="414" t="str">
        <f>IF(Pay_Num&lt;&gt;"",DATE(YEAR(C71)+VLOOKUP(Interval,LoanLookup[#Data],4,FALSE),MONTH(C71)+VLOOKUP(Interval,LoanLookup[#Data],2,FALSE),DAY(C71)+VLOOKUP(Interval,LoanLookup[#Data],3,FALSE)),"")</f>
        <v/>
      </c>
      <c r="D72" s="415" t="str">
        <f t="shared" si="13"/>
        <v/>
      </c>
      <c r="E72" s="416" t="str">
        <f t="shared" si="10"/>
        <v/>
      </c>
      <c r="F72" s="417" t="e">
        <f>IF(scheduled_no_payments=1,"",IF(Sched_Pay+Scheduled_Extra_Payments&lt;Beg_Bal2,Scheduled_Extra_Payments,IF(AND(Pay_Num&lt;&gt;"",Beg_Bal2-Sched_Pay&gt;0),Beg_Bal2-Sched_Pay,IF(Pay_Num&lt;&gt;"",0,""))))</f>
        <v>#VALUE!</v>
      </c>
      <c r="G72" s="417"/>
      <c r="H72" s="417" t="e">
        <f t="shared" si="11"/>
        <v>#VALUE!</v>
      </c>
      <c r="I72" s="415" t="e">
        <f>IF(scheduled_no_payments=1,"",IF(Sched_Pay+Extra_Pay2&lt;Beg_Bal2,Sched_Pay+Extra_Pay2,IF(Pay_Num&lt;&gt;"",Beg_Bal2,"")))</f>
        <v>#VALUE!</v>
      </c>
      <c r="J72" s="415" t="str">
        <f t="shared" si="12"/>
        <v/>
      </c>
      <c r="K72" s="415" t="str">
        <f>IF(Pay_Num&lt;&gt;"",Beg_Bal2*(InterestRate/VLOOKUP(Interval,LoanLookup[],5,FALSE)),"")</f>
        <v/>
      </c>
      <c r="L72" s="415" t="e">
        <f t="shared" si="9"/>
        <v>#VALUE!</v>
      </c>
      <c r="M72" s="415" t="e">
        <f>IF(scheduled_no_payments=1,"",SUM($K$28:$K72))</f>
        <v>#VALUE!</v>
      </c>
      <c r="N72" s="420"/>
    </row>
    <row r="73" spans="2:14" ht="16.5" customHeight="1" x14ac:dyDescent="0.45">
      <c r="B73" s="413" t="str">
        <f>IF(AND(Values_Entered,scheduled_no_payments&lt;&gt;1),B72+1,"")</f>
        <v/>
      </c>
      <c r="C73" s="414" t="str">
        <f>IF(Pay_Num&lt;&gt;"",DATE(YEAR(C72)+VLOOKUP(Interval,LoanLookup[#Data],4,FALSE),MONTH(C72)+VLOOKUP(Interval,LoanLookup[#Data],2,FALSE),DAY(C72)+VLOOKUP(Interval,LoanLookup[#Data],3,FALSE)),"")</f>
        <v/>
      </c>
      <c r="D73" s="415" t="str">
        <f t="shared" si="13"/>
        <v/>
      </c>
      <c r="E73" s="416" t="str">
        <f t="shared" si="10"/>
        <v/>
      </c>
      <c r="F73" s="417" t="e">
        <f>IF(scheduled_no_payments=1,"",IF(Sched_Pay+Scheduled_Extra_Payments&lt;Beg_Bal2,Scheduled_Extra_Payments,IF(AND(Pay_Num&lt;&gt;"",Beg_Bal2-Sched_Pay&gt;0),Beg_Bal2-Sched_Pay,IF(Pay_Num&lt;&gt;"",0,""))))</f>
        <v>#VALUE!</v>
      </c>
      <c r="G73" s="417"/>
      <c r="H73" s="417" t="e">
        <f t="shared" si="11"/>
        <v>#VALUE!</v>
      </c>
      <c r="I73" s="415" t="e">
        <f>IF(scheduled_no_payments=1,"",IF(Sched_Pay+Extra_Pay2&lt;Beg_Bal2,Sched_Pay+Extra_Pay2,IF(Pay_Num&lt;&gt;"",Beg_Bal2,"")))</f>
        <v>#VALUE!</v>
      </c>
      <c r="J73" s="415" t="str">
        <f t="shared" si="12"/>
        <v/>
      </c>
      <c r="K73" s="415" t="str">
        <f>IF(Pay_Num&lt;&gt;"",Beg_Bal2*(InterestRate/VLOOKUP(Interval,LoanLookup[],5,FALSE)),"")</f>
        <v/>
      </c>
      <c r="L73" s="415" t="e">
        <f t="shared" si="9"/>
        <v>#VALUE!</v>
      </c>
      <c r="M73" s="415" t="e">
        <f>IF(scheduled_no_payments=1,"",SUM($K$28:$K73))</f>
        <v>#VALUE!</v>
      </c>
      <c r="N73" s="420"/>
    </row>
    <row r="74" spans="2:14" ht="16.5" customHeight="1" x14ac:dyDescent="0.45">
      <c r="B74" s="413" t="str">
        <f>IF(AND(Values_Entered,scheduled_no_payments&lt;&gt;1),B73+1,"")</f>
        <v/>
      </c>
      <c r="C74" s="414" t="str">
        <f>IF(Pay_Num&lt;&gt;"",DATE(YEAR(C73)+VLOOKUP(Interval,LoanLookup[#Data],4,FALSE),MONTH(C73)+VLOOKUP(Interval,LoanLookup[#Data],2,FALSE),DAY(C73)+VLOOKUP(Interval,LoanLookup[#Data],3,FALSE)),"")</f>
        <v/>
      </c>
      <c r="D74" s="415" t="str">
        <f t="shared" si="13"/>
        <v/>
      </c>
      <c r="E74" s="416" t="str">
        <f t="shared" si="10"/>
        <v/>
      </c>
      <c r="F74" s="417" t="e">
        <f>IF(scheduled_no_payments=1,"",IF(Sched_Pay+Scheduled_Extra_Payments&lt;Beg_Bal2,Scheduled_Extra_Payments,IF(AND(Pay_Num&lt;&gt;"",Beg_Bal2-Sched_Pay&gt;0),Beg_Bal2-Sched_Pay,IF(Pay_Num&lt;&gt;"",0,""))))</f>
        <v>#VALUE!</v>
      </c>
      <c r="G74" s="417"/>
      <c r="H74" s="417" t="e">
        <f t="shared" si="11"/>
        <v>#VALUE!</v>
      </c>
      <c r="I74" s="415" t="e">
        <f>IF(scheduled_no_payments=1,"",IF(Sched_Pay+Extra_Pay2&lt;Beg_Bal2,Sched_Pay+Extra_Pay2,IF(Pay_Num&lt;&gt;"",Beg_Bal2,"")))</f>
        <v>#VALUE!</v>
      </c>
      <c r="J74" s="415" t="str">
        <f t="shared" si="12"/>
        <v/>
      </c>
      <c r="K74" s="415" t="str">
        <f>IF(Pay_Num&lt;&gt;"",Beg_Bal2*(InterestRate/VLOOKUP(Interval,LoanLookup[],5,FALSE)),"")</f>
        <v/>
      </c>
      <c r="L74" s="415" t="e">
        <f t="shared" si="9"/>
        <v>#VALUE!</v>
      </c>
      <c r="M74" s="415" t="e">
        <f>IF(scheduled_no_payments=1,"",SUM($K$28:$K74))</f>
        <v>#VALUE!</v>
      </c>
      <c r="N74" s="420"/>
    </row>
    <row r="75" spans="2:14" ht="16.5" customHeight="1" x14ac:dyDescent="0.45">
      <c r="B75" s="413" t="str">
        <f>IF(AND(Values_Entered,scheduled_no_payments&lt;&gt;1),B74+1,"")</f>
        <v/>
      </c>
      <c r="C75" s="414" t="str">
        <f>IF(Pay_Num&lt;&gt;"",DATE(YEAR(C74)+VLOOKUP(Interval,LoanLookup[#Data],4,FALSE),MONTH(C74)+VLOOKUP(Interval,LoanLookup[#Data],2,FALSE),DAY(C74)+VLOOKUP(Interval,LoanLookup[#Data],3,FALSE)),"")</f>
        <v/>
      </c>
      <c r="D75" s="415" t="str">
        <f t="shared" si="13"/>
        <v/>
      </c>
      <c r="E75" s="416" t="str">
        <f t="shared" si="10"/>
        <v/>
      </c>
      <c r="F75" s="417" t="e">
        <f>IF(scheduled_no_payments=1,"",IF(Sched_Pay+Scheduled_Extra_Payments&lt;Beg_Bal2,Scheduled_Extra_Payments,IF(AND(Pay_Num&lt;&gt;"",Beg_Bal2-Sched_Pay&gt;0),Beg_Bal2-Sched_Pay,IF(Pay_Num&lt;&gt;"",0,""))))</f>
        <v>#VALUE!</v>
      </c>
      <c r="G75" s="417"/>
      <c r="H75" s="417" t="e">
        <f t="shared" si="11"/>
        <v>#VALUE!</v>
      </c>
      <c r="I75" s="415" t="e">
        <f>IF(scheduled_no_payments=1,"",IF(Sched_Pay+Extra_Pay2&lt;Beg_Bal2,Sched_Pay+Extra_Pay2,IF(Pay_Num&lt;&gt;"",Beg_Bal2,"")))</f>
        <v>#VALUE!</v>
      </c>
      <c r="J75" s="415" t="str">
        <f t="shared" si="12"/>
        <v/>
      </c>
      <c r="K75" s="415" t="str">
        <f>IF(Pay_Num&lt;&gt;"",Beg_Bal2*(InterestRate/VLOOKUP(Interval,LoanLookup[],5,FALSE)),"")</f>
        <v/>
      </c>
      <c r="L75" s="415" t="e">
        <f t="shared" si="9"/>
        <v>#VALUE!</v>
      </c>
      <c r="M75" s="415" t="e">
        <f>IF(scheduled_no_payments=1,"",SUM($K$28:$K75))</f>
        <v>#VALUE!</v>
      </c>
      <c r="N75" s="420"/>
    </row>
    <row r="76" spans="2:14" ht="16.5" customHeight="1" x14ac:dyDescent="0.45">
      <c r="B76" s="413" t="str">
        <f>IF(AND(Values_Entered,scheduled_no_payments&lt;&gt;1),B75+1,"")</f>
        <v/>
      </c>
      <c r="C76" s="414" t="str">
        <f>IF(Pay_Num&lt;&gt;"",DATE(YEAR(C75)+VLOOKUP(Interval,LoanLookup[#Data],4,FALSE),MONTH(C75)+VLOOKUP(Interval,LoanLookup[#Data],2,FALSE),DAY(C75)+VLOOKUP(Interval,LoanLookup[#Data],3,FALSE)),"")</f>
        <v/>
      </c>
      <c r="D76" s="415" t="str">
        <f t="shared" si="13"/>
        <v/>
      </c>
      <c r="E76" s="416" t="str">
        <f t="shared" si="10"/>
        <v/>
      </c>
      <c r="F76" s="417" t="e">
        <f>IF(scheduled_no_payments=1,"",IF(Sched_Pay+Scheduled_Extra_Payments&lt;Beg_Bal2,Scheduled_Extra_Payments,IF(AND(Pay_Num&lt;&gt;"",Beg_Bal2-Sched_Pay&gt;0),Beg_Bal2-Sched_Pay,IF(Pay_Num&lt;&gt;"",0,""))))</f>
        <v>#VALUE!</v>
      </c>
      <c r="G76" s="417"/>
      <c r="H76" s="417" t="e">
        <f t="shared" si="11"/>
        <v>#VALUE!</v>
      </c>
      <c r="I76" s="415" t="e">
        <f>IF(scheduled_no_payments=1,"",IF(Sched_Pay+Extra_Pay2&lt;Beg_Bal2,Sched_Pay+Extra_Pay2,IF(Pay_Num&lt;&gt;"",Beg_Bal2,"")))</f>
        <v>#VALUE!</v>
      </c>
      <c r="J76" s="415" t="str">
        <f t="shared" si="12"/>
        <v/>
      </c>
      <c r="K76" s="415" t="str">
        <f>IF(Pay_Num&lt;&gt;"",Beg_Bal2*(InterestRate/VLOOKUP(Interval,LoanLookup[],5,FALSE)),"")</f>
        <v/>
      </c>
      <c r="L76" s="415" t="e">
        <f t="shared" si="9"/>
        <v>#VALUE!</v>
      </c>
      <c r="M76" s="415" t="e">
        <f>IF(scheduled_no_payments=1,"",SUM($K$28:$K76))</f>
        <v>#VALUE!</v>
      </c>
      <c r="N76" s="420"/>
    </row>
    <row r="77" spans="2:14" ht="16.5" customHeight="1" x14ac:dyDescent="0.45">
      <c r="B77" s="413" t="str">
        <f>IF(AND(Values_Entered,scheduled_no_payments&lt;&gt;1),B76+1,"")</f>
        <v/>
      </c>
      <c r="C77" s="414" t="str">
        <f>IF(Pay_Num&lt;&gt;"",DATE(YEAR(C76)+VLOOKUP(Interval,LoanLookup[#Data],4,FALSE),MONTH(C76)+VLOOKUP(Interval,LoanLookup[#Data],2,FALSE),DAY(C76)+VLOOKUP(Interval,LoanLookup[#Data],3,FALSE)),"")</f>
        <v/>
      </c>
      <c r="D77" s="415" t="str">
        <f t="shared" si="13"/>
        <v/>
      </c>
      <c r="E77" s="416" t="str">
        <f t="shared" si="10"/>
        <v/>
      </c>
      <c r="F77" s="417" t="e">
        <f>IF(scheduled_no_payments=1,"",IF(Sched_Pay+Scheduled_Extra_Payments&lt;Beg_Bal2,Scheduled_Extra_Payments,IF(AND(Pay_Num&lt;&gt;"",Beg_Bal2-Sched_Pay&gt;0),Beg_Bal2-Sched_Pay,IF(Pay_Num&lt;&gt;"",0,""))))</f>
        <v>#VALUE!</v>
      </c>
      <c r="G77" s="417"/>
      <c r="H77" s="417" t="e">
        <f t="shared" si="11"/>
        <v>#VALUE!</v>
      </c>
      <c r="I77" s="415" t="e">
        <f>IF(scheduled_no_payments=1,"",IF(Sched_Pay+Extra_Pay2&lt;Beg_Bal2,Sched_Pay+Extra_Pay2,IF(Pay_Num&lt;&gt;"",Beg_Bal2,"")))</f>
        <v>#VALUE!</v>
      </c>
      <c r="J77" s="415" t="str">
        <f t="shared" si="12"/>
        <v/>
      </c>
      <c r="K77" s="415" t="str">
        <f>IF(Pay_Num&lt;&gt;"",Beg_Bal2*(InterestRate/VLOOKUP(Interval,LoanLookup[],5,FALSE)),"")</f>
        <v/>
      </c>
      <c r="L77" s="415" t="e">
        <f t="shared" si="9"/>
        <v>#VALUE!</v>
      </c>
      <c r="M77" s="415" t="e">
        <f>IF(scheduled_no_payments=1,"",SUM($K$28:$K77))</f>
        <v>#VALUE!</v>
      </c>
      <c r="N77" s="420"/>
    </row>
    <row r="78" spans="2:14" ht="16.5" customHeight="1" x14ac:dyDescent="0.45">
      <c r="B78" s="413" t="str">
        <f>IF(AND(Values_Entered,scheduled_no_payments&lt;&gt;1),B77+1,"")</f>
        <v/>
      </c>
      <c r="C78" s="414" t="str">
        <f>IF(Pay_Num&lt;&gt;"",DATE(YEAR(C77)+VLOOKUP(Interval,LoanLookup[#Data],4,FALSE),MONTH(C77)+VLOOKUP(Interval,LoanLookup[#Data],2,FALSE),DAY(C77)+VLOOKUP(Interval,LoanLookup[#Data],3,FALSE)),"")</f>
        <v/>
      </c>
      <c r="D78" s="415" t="str">
        <f t="shared" si="13"/>
        <v/>
      </c>
      <c r="E78" s="416" t="str">
        <f t="shared" si="10"/>
        <v/>
      </c>
      <c r="F78" s="417" t="e">
        <f>IF(scheduled_no_payments=1,"",IF(Sched_Pay+Scheduled_Extra_Payments&lt;Beg_Bal2,Scheduled_Extra_Payments,IF(AND(Pay_Num&lt;&gt;"",Beg_Bal2-Sched_Pay&gt;0),Beg_Bal2-Sched_Pay,IF(Pay_Num&lt;&gt;"",0,""))))</f>
        <v>#VALUE!</v>
      </c>
      <c r="G78" s="417"/>
      <c r="H78" s="417" t="e">
        <f t="shared" si="11"/>
        <v>#VALUE!</v>
      </c>
      <c r="I78" s="415" t="e">
        <f>IF(scheduled_no_payments=1,"",IF(Sched_Pay+Extra_Pay2&lt;Beg_Bal2,Sched_Pay+Extra_Pay2,IF(Pay_Num&lt;&gt;"",Beg_Bal2,"")))</f>
        <v>#VALUE!</v>
      </c>
      <c r="J78" s="415" t="str">
        <f t="shared" si="12"/>
        <v/>
      </c>
      <c r="K78" s="415" t="str">
        <f>IF(Pay_Num&lt;&gt;"",Beg_Bal2*(InterestRate/VLOOKUP(Interval,LoanLookup[],5,FALSE)),"")</f>
        <v/>
      </c>
      <c r="L78" s="415" t="e">
        <f t="shared" si="9"/>
        <v>#VALUE!</v>
      </c>
      <c r="M78" s="415" t="e">
        <f>IF(scheduled_no_payments=1,"",SUM($K$28:$K78))</f>
        <v>#VALUE!</v>
      </c>
      <c r="N78" s="420"/>
    </row>
    <row r="79" spans="2:14" ht="16.5" customHeight="1" x14ac:dyDescent="0.45">
      <c r="B79" s="413" t="str">
        <f>IF(AND(Values_Entered,scheduled_no_payments&lt;&gt;1),B78+1,"")</f>
        <v/>
      </c>
      <c r="C79" s="414" t="str">
        <f>IF(Pay_Num&lt;&gt;"",DATE(YEAR(C78)+VLOOKUP(Interval,LoanLookup[#Data],4,FALSE),MONTH(C78)+VLOOKUP(Interval,LoanLookup[#Data],2,FALSE),DAY(C78)+VLOOKUP(Interval,LoanLookup[#Data],3,FALSE)),"")</f>
        <v/>
      </c>
      <c r="D79" s="415" t="str">
        <f t="shared" si="13"/>
        <v/>
      </c>
      <c r="E79" s="416" t="str">
        <f t="shared" si="10"/>
        <v/>
      </c>
      <c r="F79" s="417" t="e">
        <f>IF(scheduled_no_payments=1,"",IF(Sched_Pay+Scheduled_Extra_Payments&lt;Beg_Bal2,Scheduled_Extra_Payments,IF(AND(Pay_Num&lt;&gt;"",Beg_Bal2-Sched_Pay&gt;0),Beg_Bal2-Sched_Pay,IF(Pay_Num&lt;&gt;"",0,""))))</f>
        <v>#VALUE!</v>
      </c>
      <c r="G79" s="417"/>
      <c r="H79" s="417" t="e">
        <f t="shared" si="11"/>
        <v>#VALUE!</v>
      </c>
      <c r="I79" s="415" t="e">
        <f>IF(scheduled_no_payments=1,"",IF(Sched_Pay+Extra_Pay2&lt;Beg_Bal2,Sched_Pay+Extra_Pay2,IF(Pay_Num&lt;&gt;"",Beg_Bal2,"")))</f>
        <v>#VALUE!</v>
      </c>
      <c r="J79" s="415" t="str">
        <f t="shared" si="12"/>
        <v/>
      </c>
      <c r="K79" s="415" t="str">
        <f>IF(Pay_Num&lt;&gt;"",Beg_Bal2*(InterestRate/VLOOKUP(Interval,LoanLookup[],5,FALSE)),"")</f>
        <v/>
      </c>
      <c r="L79" s="415" t="e">
        <f t="shared" si="9"/>
        <v>#VALUE!</v>
      </c>
      <c r="M79" s="415" t="e">
        <f>IF(scheduled_no_payments=1,"",SUM($K$28:$K79))</f>
        <v>#VALUE!</v>
      </c>
      <c r="N79" s="420"/>
    </row>
    <row r="80" spans="2:14" ht="16.5" customHeight="1" x14ac:dyDescent="0.45">
      <c r="B80" s="413" t="str">
        <f>IF(AND(Values_Entered,scheduled_no_payments&lt;&gt;1),B79+1,"")</f>
        <v/>
      </c>
      <c r="C80" s="414" t="str">
        <f>IF(Pay_Num&lt;&gt;"",DATE(YEAR(C79)+VLOOKUP(Interval,LoanLookup[#Data],4,FALSE),MONTH(C79)+VLOOKUP(Interval,LoanLookup[#Data],2,FALSE),DAY(C79)+VLOOKUP(Interval,LoanLookup[#Data],3,FALSE)),"")</f>
        <v/>
      </c>
      <c r="D80" s="415" t="str">
        <f t="shared" si="13"/>
        <v/>
      </c>
      <c r="E80" s="416" t="str">
        <f t="shared" si="10"/>
        <v/>
      </c>
      <c r="F80" s="417" t="e">
        <f>IF(scheduled_no_payments=1,"",IF(Sched_Pay+Scheduled_Extra_Payments&lt;Beg_Bal2,Scheduled_Extra_Payments,IF(AND(Pay_Num&lt;&gt;"",Beg_Bal2-Sched_Pay&gt;0),Beg_Bal2-Sched_Pay,IF(Pay_Num&lt;&gt;"",0,""))))</f>
        <v>#VALUE!</v>
      </c>
      <c r="G80" s="417"/>
      <c r="H80" s="417" t="e">
        <f t="shared" si="11"/>
        <v>#VALUE!</v>
      </c>
      <c r="I80" s="415" t="e">
        <f>IF(scheduled_no_payments=1,"",IF(Sched_Pay+Extra_Pay2&lt;Beg_Bal2,Sched_Pay+Extra_Pay2,IF(Pay_Num&lt;&gt;"",Beg_Bal2,"")))</f>
        <v>#VALUE!</v>
      </c>
      <c r="J80" s="415" t="str">
        <f t="shared" si="12"/>
        <v/>
      </c>
      <c r="K80" s="415" t="str">
        <f>IF(Pay_Num&lt;&gt;"",Beg_Bal2*(InterestRate/VLOOKUP(Interval,LoanLookup[],5,FALSE)),"")</f>
        <v/>
      </c>
      <c r="L80" s="415" t="e">
        <f t="shared" si="9"/>
        <v>#VALUE!</v>
      </c>
      <c r="M80" s="415" t="e">
        <f>IF(scheduled_no_payments=1,"",SUM($K$28:$K80))</f>
        <v>#VALUE!</v>
      </c>
      <c r="N80" s="420"/>
    </row>
    <row r="81" spans="2:14" ht="16.5" customHeight="1" x14ac:dyDescent="0.45">
      <c r="B81" s="413" t="str">
        <f>IF(AND(Values_Entered,scheduled_no_payments&lt;&gt;1),B80+1,"")</f>
        <v/>
      </c>
      <c r="C81" s="414" t="str">
        <f>IF(Pay_Num&lt;&gt;"",DATE(YEAR(C80)+VLOOKUP(Interval,LoanLookup[#Data],4,FALSE),MONTH(C80)+VLOOKUP(Interval,LoanLookup[#Data],2,FALSE),DAY(C80)+VLOOKUP(Interval,LoanLookup[#Data],3,FALSE)),"")</f>
        <v/>
      </c>
      <c r="D81" s="415" t="str">
        <f t="shared" si="13"/>
        <v/>
      </c>
      <c r="E81" s="416" t="str">
        <f t="shared" si="10"/>
        <v/>
      </c>
      <c r="F81" s="417" t="e">
        <f>IF(scheduled_no_payments=1,"",IF(Sched_Pay+Scheduled_Extra_Payments&lt;Beg_Bal2,Scheduled_Extra_Payments,IF(AND(Pay_Num&lt;&gt;"",Beg_Bal2-Sched_Pay&gt;0),Beg_Bal2-Sched_Pay,IF(Pay_Num&lt;&gt;"",0,""))))</f>
        <v>#VALUE!</v>
      </c>
      <c r="G81" s="417"/>
      <c r="H81" s="417" t="e">
        <f t="shared" si="11"/>
        <v>#VALUE!</v>
      </c>
      <c r="I81" s="415" t="e">
        <f>IF(scheduled_no_payments=1,"",IF(Sched_Pay+Extra_Pay2&lt;Beg_Bal2,Sched_Pay+Extra_Pay2,IF(Pay_Num&lt;&gt;"",Beg_Bal2,"")))</f>
        <v>#VALUE!</v>
      </c>
      <c r="J81" s="415" t="str">
        <f t="shared" si="12"/>
        <v/>
      </c>
      <c r="K81" s="415" t="str">
        <f>IF(Pay_Num&lt;&gt;"",Beg_Bal2*(InterestRate/VLOOKUP(Interval,LoanLookup[],5,FALSE)),"")</f>
        <v/>
      </c>
      <c r="L81" s="415" t="e">
        <f t="shared" si="9"/>
        <v>#VALUE!</v>
      </c>
      <c r="M81" s="415" t="e">
        <f>IF(scheduled_no_payments=1,"",SUM($K$28:$K81))</f>
        <v>#VALUE!</v>
      </c>
      <c r="N81" s="420"/>
    </row>
    <row r="82" spans="2:14" ht="16.5" customHeight="1" x14ac:dyDescent="0.45">
      <c r="B82" s="413" t="str">
        <f>IF(AND(Values_Entered,scheduled_no_payments&lt;&gt;1),B81+1,"")</f>
        <v/>
      </c>
      <c r="C82" s="414" t="str">
        <f>IF(Pay_Num&lt;&gt;"",DATE(YEAR(C81)+VLOOKUP(Interval,LoanLookup[#Data],4,FALSE),MONTH(C81)+VLOOKUP(Interval,LoanLookup[#Data],2,FALSE),DAY(C81)+VLOOKUP(Interval,LoanLookup[#Data],3,FALSE)),"")</f>
        <v/>
      </c>
      <c r="D82" s="415" t="str">
        <f t="shared" si="13"/>
        <v/>
      </c>
      <c r="E82" s="416" t="str">
        <f t="shared" si="10"/>
        <v/>
      </c>
      <c r="F82" s="417" t="e">
        <f>IF(scheduled_no_payments=1,"",IF(Sched_Pay+Scheduled_Extra_Payments&lt;Beg_Bal2,Scheduled_Extra_Payments,IF(AND(Pay_Num&lt;&gt;"",Beg_Bal2-Sched_Pay&gt;0),Beg_Bal2-Sched_Pay,IF(Pay_Num&lt;&gt;"",0,""))))</f>
        <v>#VALUE!</v>
      </c>
      <c r="G82" s="417"/>
      <c r="H82" s="417" t="e">
        <f t="shared" si="11"/>
        <v>#VALUE!</v>
      </c>
      <c r="I82" s="415" t="e">
        <f>IF(scheduled_no_payments=1,"",IF(Sched_Pay+Extra_Pay2&lt;Beg_Bal2,Sched_Pay+Extra_Pay2,IF(Pay_Num&lt;&gt;"",Beg_Bal2,"")))</f>
        <v>#VALUE!</v>
      </c>
      <c r="J82" s="415" t="str">
        <f t="shared" si="12"/>
        <v/>
      </c>
      <c r="K82" s="415" t="str">
        <f>IF(Pay_Num&lt;&gt;"",Beg_Bal2*(InterestRate/VLOOKUP(Interval,LoanLookup[],5,FALSE)),"")</f>
        <v/>
      </c>
      <c r="L82" s="415" t="e">
        <f t="shared" si="9"/>
        <v>#VALUE!</v>
      </c>
      <c r="M82" s="415" t="e">
        <f>IF(scheduled_no_payments=1,"",SUM($K$28:$K82))</f>
        <v>#VALUE!</v>
      </c>
      <c r="N82" s="420"/>
    </row>
    <row r="83" spans="2:14" ht="16.5" customHeight="1" x14ac:dyDescent="0.45">
      <c r="B83" s="413" t="str">
        <f>IF(AND(Values_Entered,scheduled_no_payments&lt;&gt;1),B82+1,"")</f>
        <v/>
      </c>
      <c r="C83" s="414" t="str">
        <f>IF(Pay_Num&lt;&gt;"",DATE(YEAR(C82)+VLOOKUP(Interval,LoanLookup[#Data],4,FALSE),MONTH(C82)+VLOOKUP(Interval,LoanLookup[#Data],2,FALSE),DAY(C82)+VLOOKUP(Interval,LoanLookup[#Data],3,FALSE)),"")</f>
        <v/>
      </c>
      <c r="D83" s="415" t="str">
        <f t="shared" si="13"/>
        <v/>
      </c>
      <c r="E83" s="416" t="str">
        <f t="shared" si="10"/>
        <v/>
      </c>
      <c r="F83" s="417" t="e">
        <f>IF(scheduled_no_payments=1,"",IF(Sched_Pay+Scheduled_Extra_Payments&lt;Beg_Bal2,Scheduled_Extra_Payments,IF(AND(Pay_Num&lt;&gt;"",Beg_Bal2-Sched_Pay&gt;0),Beg_Bal2-Sched_Pay,IF(Pay_Num&lt;&gt;"",0,""))))</f>
        <v>#VALUE!</v>
      </c>
      <c r="G83" s="417"/>
      <c r="H83" s="417" t="e">
        <f t="shared" si="11"/>
        <v>#VALUE!</v>
      </c>
      <c r="I83" s="415" t="e">
        <f>IF(scheduled_no_payments=1,"",IF(Sched_Pay+Extra_Pay2&lt;Beg_Bal2,Sched_Pay+Extra_Pay2,IF(Pay_Num&lt;&gt;"",Beg_Bal2,"")))</f>
        <v>#VALUE!</v>
      </c>
      <c r="J83" s="415" t="str">
        <f t="shared" si="12"/>
        <v/>
      </c>
      <c r="K83" s="415" t="str">
        <f>IF(Pay_Num&lt;&gt;"",Beg_Bal2*(InterestRate/VLOOKUP(Interval,LoanLookup[],5,FALSE)),"")</f>
        <v/>
      </c>
      <c r="L83" s="415" t="e">
        <f t="shared" si="9"/>
        <v>#VALUE!</v>
      </c>
      <c r="M83" s="415" t="e">
        <f>IF(scheduled_no_payments=1,"",SUM($K$28:$K83))</f>
        <v>#VALUE!</v>
      </c>
      <c r="N83" s="420"/>
    </row>
    <row r="84" spans="2:14" ht="16.5" customHeight="1" x14ac:dyDescent="0.45">
      <c r="B84" s="413" t="str">
        <f>IF(AND(Values_Entered,scheduled_no_payments&lt;&gt;1),B83+1,"")</f>
        <v/>
      </c>
      <c r="C84" s="414" t="str">
        <f>IF(Pay_Num&lt;&gt;"",DATE(YEAR(C83)+VLOOKUP(Interval,LoanLookup[#Data],4,FALSE),MONTH(C83)+VLOOKUP(Interval,LoanLookup[#Data],2,FALSE),DAY(C83)+VLOOKUP(Interval,LoanLookup[#Data],3,FALSE)),"")</f>
        <v/>
      </c>
      <c r="D84" s="415" t="str">
        <f t="shared" si="13"/>
        <v/>
      </c>
      <c r="E84" s="416" t="str">
        <f t="shared" si="10"/>
        <v/>
      </c>
      <c r="F84" s="417" t="e">
        <f>IF(scheduled_no_payments=1,"",IF(Sched_Pay+Scheduled_Extra_Payments&lt;Beg_Bal2,Scheduled_Extra_Payments,IF(AND(Pay_Num&lt;&gt;"",Beg_Bal2-Sched_Pay&gt;0),Beg_Bal2-Sched_Pay,IF(Pay_Num&lt;&gt;"",0,""))))</f>
        <v>#VALUE!</v>
      </c>
      <c r="G84" s="417"/>
      <c r="H84" s="417" t="e">
        <f t="shared" si="11"/>
        <v>#VALUE!</v>
      </c>
      <c r="I84" s="415" t="e">
        <f>IF(scheduled_no_payments=1,"",IF(Sched_Pay+Extra_Pay2&lt;Beg_Bal2,Sched_Pay+Extra_Pay2,IF(Pay_Num&lt;&gt;"",Beg_Bal2,"")))</f>
        <v>#VALUE!</v>
      </c>
      <c r="J84" s="415" t="str">
        <f t="shared" si="12"/>
        <v/>
      </c>
      <c r="K84" s="415" t="str">
        <f>IF(Pay_Num&lt;&gt;"",Beg_Bal2*(InterestRate/VLOOKUP(Interval,LoanLookup[],5,FALSE)),"")</f>
        <v/>
      </c>
      <c r="L84" s="415" t="e">
        <f t="shared" si="9"/>
        <v>#VALUE!</v>
      </c>
      <c r="M84" s="415" t="e">
        <f>IF(scheduled_no_payments=1,"",SUM($K$28:$K84))</f>
        <v>#VALUE!</v>
      </c>
      <c r="N84" s="420"/>
    </row>
    <row r="85" spans="2:14" ht="16.5" customHeight="1" x14ac:dyDescent="0.45">
      <c r="B85" s="413" t="str">
        <f>IF(AND(Values_Entered,scheduled_no_payments&lt;&gt;1),B84+1,"")</f>
        <v/>
      </c>
      <c r="C85" s="414" t="str">
        <f>IF(Pay_Num&lt;&gt;"",DATE(YEAR(C84)+VLOOKUP(Interval,LoanLookup[#Data],4,FALSE),MONTH(C84)+VLOOKUP(Interval,LoanLookup[#Data],2,FALSE),DAY(C84)+VLOOKUP(Interval,LoanLookup[#Data],3,FALSE)),"")</f>
        <v/>
      </c>
      <c r="D85" s="415" t="str">
        <f t="shared" si="13"/>
        <v/>
      </c>
      <c r="E85" s="416" t="str">
        <f t="shared" si="10"/>
        <v/>
      </c>
      <c r="F85" s="417" t="e">
        <f>IF(scheduled_no_payments=1,"",IF(Sched_Pay+Scheduled_Extra_Payments&lt;Beg_Bal2,Scheduled_Extra_Payments,IF(AND(Pay_Num&lt;&gt;"",Beg_Bal2-Sched_Pay&gt;0),Beg_Bal2-Sched_Pay,IF(Pay_Num&lt;&gt;"",0,""))))</f>
        <v>#VALUE!</v>
      </c>
      <c r="G85" s="417"/>
      <c r="H85" s="417" t="e">
        <f t="shared" si="11"/>
        <v>#VALUE!</v>
      </c>
      <c r="I85" s="415" t="e">
        <f>IF(scheduled_no_payments=1,"",IF(Sched_Pay+Extra_Pay2&lt;Beg_Bal2,Sched_Pay+Extra_Pay2,IF(Pay_Num&lt;&gt;"",Beg_Bal2,"")))</f>
        <v>#VALUE!</v>
      </c>
      <c r="J85" s="415" t="str">
        <f t="shared" si="12"/>
        <v/>
      </c>
      <c r="K85" s="415" t="str">
        <f>IF(Pay_Num&lt;&gt;"",Beg_Bal2*(InterestRate/VLOOKUP(Interval,LoanLookup[],5,FALSE)),"")</f>
        <v/>
      </c>
      <c r="L85" s="415" t="e">
        <f t="shared" si="9"/>
        <v>#VALUE!</v>
      </c>
      <c r="M85" s="415" t="e">
        <f>IF(scheduled_no_payments=1,"",SUM($K$28:$K85))</f>
        <v>#VALUE!</v>
      </c>
      <c r="N85" s="420"/>
    </row>
    <row r="86" spans="2:14" ht="16.5" customHeight="1" x14ac:dyDescent="0.45">
      <c r="B86" s="413" t="str">
        <f>IF(AND(Values_Entered,scheduled_no_payments&lt;&gt;1),B85+1,"")</f>
        <v/>
      </c>
      <c r="C86" s="414" t="str">
        <f>IF(Pay_Num&lt;&gt;"",DATE(YEAR(C85)+VLOOKUP(Interval,LoanLookup[#Data],4,FALSE),MONTH(C85)+VLOOKUP(Interval,LoanLookup[#Data],2,FALSE),DAY(C85)+VLOOKUP(Interval,LoanLookup[#Data],3,FALSE)),"")</f>
        <v/>
      </c>
      <c r="D86" s="415" t="str">
        <f t="shared" si="13"/>
        <v/>
      </c>
      <c r="E86" s="416" t="str">
        <f t="shared" si="10"/>
        <v/>
      </c>
      <c r="F86" s="417" t="e">
        <f>IF(scheduled_no_payments=1,"",IF(Sched_Pay+Scheduled_Extra_Payments&lt;Beg_Bal2,Scheduled_Extra_Payments,IF(AND(Pay_Num&lt;&gt;"",Beg_Bal2-Sched_Pay&gt;0),Beg_Bal2-Sched_Pay,IF(Pay_Num&lt;&gt;"",0,""))))</f>
        <v>#VALUE!</v>
      </c>
      <c r="G86" s="417"/>
      <c r="H86" s="417" t="e">
        <f t="shared" si="11"/>
        <v>#VALUE!</v>
      </c>
      <c r="I86" s="415" t="e">
        <f>IF(scheduled_no_payments=1,"",IF(Sched_Pay+Extra_Pay2&lt;Beg_Bal2,Sched_Pay+Extra_Pay2,IF(Pay_Num&lt;&gt;"",Beg_Bal2,"")))</f>
        <v>#VALUE!</v>
      </c>
      <c r="J86" s="415" t="str">
        <f t="shared" si="12"/>
        <v/>
      </c>
      <c r="K86" s="415" t="str">
        <f>IF(Pay_Num&lt;&gt;"",Beg_Bal2*(InterestRate/VLOOKUP(Interval,LoanLookup[],5,FALSE)),"")</f>
        <v/>
      </c>
      <c r="L86" s="415" t="e">
        <f t="shared" si="9"/>
        <v>#VALUE!</v>
      </c>
      <c r="M86" s="415" t="e">
        <f>IF(scheduled_no_payments=1,"",SUM($K$28:$K86))</f>
        <v>#VALUE!</v>
      </c>
      <c r="N86" s="420"/>
    </row>
    <row r="87" spans="2:14" ht="16.5" customHeight="1" x14ac:dyDescent="0.45">
      <c r="B87" s="413" t="str">
        <f>IF(AND(Values_Entered,scheduled_no_payments&lt;&gt;1),B86+1,"")</f>
        <v/>
      </c>
      <c r="C87" s="414" t="str">
        <f>IF(Pay_Num&lt;&gt;"",DATE(YEAR(C86)+VLOOKUP(Interval,LoanLookup[#Data],4,FALSE),MONTH(C86)+VLOOKUP(Interval,LoanLookup[#Data],2,FALSE),DAY(C86)+VLOOKUP(Interval,LoanLookup[#Data],3,FALSE)),"")</f>
        <v/>
      </c>
      <c r="D87" s="415" t="str">
        <f t="shared" si="13"/>
        <v/>
      </c>
      <c r="E87" s="416" t="str">
        <f t="shared" si="10"/>
        <v/>
      </c>
      <c r="F87" s="417" t="e">
        <f>IF(scheduled_no_payments=1,"",IF(Sched_Pay+Scheduled_Extra_Payments&lt;Beg_Bal2,Scheduled_Extra_Payments,IF(AND(Pay_Num&lt;&gt;"",Beg_Bal2-Sched_Pay&gt;0),Beg_Bal2-Sched_Pay,IF(Pay_Num&lt;&gt;"",0,""))))</f>
        <v>#VALUE!</v>
      </c>
      <c r="G87" s="417"/>
      <c r="H87" s="417" t="e">
        <f t="shared" si="11"/>
        <v>#VALUE!</v>
      </c>
      <c r="I87" s="415" t="e">
        <f>IF(scheduled_no_payments=1,"",IF(Sched_Pay+Extra_Pay2&lt;Beg_Bal2,Sched_Pay+Extra_Pay2,IF(Pay_Num&lt;&gt;"",Beg_Bal2,"")))</f>
        <v>#VALUE!</v>
      </c>
      <c r="J87" s="415" t="str">
        <f t="shared" si="12"/>
        <v/>
      </c>
      <c r="K87" s="415" t="str">
        <f>IF(Pay_Num&lt;&gt;"",Beg_Bal2*(InterestRate/VLOOKUP(Interval,LoanLookup[],5,FALSE)),"")</f>
        <v/>
      </c>
      <c r="L87" s="415" t="e">
        <f t="shared" si="9"/>
        <v>#VALUE!</v>
      </c>
      <c r="M87" s="415" t="e">
        <f>IF(scheduled_no_payments=1,"",SUM($K$28:$K87))</f>
        <v>#VALUE!</v>
      </c>
      <c r="N87" s="420"/>
    </row>
    <row r="88" spans="2:14" ht="16.5" customHeight="1" x14ac:dyDescent="0.45">
      <c r="B88" s="413" t="str">
        <f>IF(AND(Values_Entered,scheduled_no_payments&lt;&gt;1),B87+1,"")</f>
        <v/>
      </c>
      <c r="C88" s="414" t="str">
        <f>IF(Pay_Num&lt;&gt;"",DATE(YEAR(C87)+VLOOKUP(Interval,LoanLookup[#Data],4,FALSE),MONTH(C87)+VLOOKUP(Interval,LoanLookup[#Data],2,FALSE),DAY(C87)+VLOOKUP(Interval,LoanLookup[#Data],3,FALSE)),"")</f>
        <v/>
      </c>
      <c r="D88" s="415" t="str">
        <f t="shared" si="13"/>
        <v/>
      </c>
      <c r="E88" s="416" t="str">
        <f t="shared" si="10"/>
        <v/>
      </c>
      <c r="F88" s="417" t="e">
        <f>IF(scheduled_no_payments=1,"",IF(Sched_Pay+Scheduled_Extra_Payments&lt;Beg_Bal2,Scheduled_Extra_Payments,IF(AND(Pay_Num&lt;&gt;"",Beg_Bal2-Sched_Pay&gt;0),Beg_Bal2-Sched_Pay,IF(Pay_Num&lt;&gt;"",0,""))))</f>
        <v>#VALUE!</v>
      </c>
      <c r="G88" s="417"/>
      <c r="H88" s="417" t="e">
        <f t="shared" si="11"/>
        <v>#VALUE!</v>
      </c>
      <c r="I88" s="415" t="e">
        <f>IF(scheduled_no_payments=1,"",IF(Sched_Pay+Extra_Pay2&lt;Beg_Bal2,Sched_Pay+Extra_Pay2,IF(Pay_Num&lt;&gt;"",Beg_Bal2,"")))</f>
        <v>#VALUE!</v>
      </c>
      <c r="J88" s="415" t="str">
        <f t="shared" si="12"/>
        <v/>
      </c>
      <c r="K88" s="415" t="str">
        <f>IF(Pay_Num&lt;&gt;"",Beg_Bal2*(InterestRate/VLOOKUP(Interval,LoanLookup[],5,FALSE)),"")</f>
        <v/>
      </c>
      <c r="L88" s="415" t="e">
        <f t="shared" si="9"/>
        <v>#VALUE!</v>
      </c>
      <c r="M88" s="415" t="e">
        <f>IF(scheduled_no_payments=1,"",SUM($K$28:$K88))</f>
        <v>#VALUE!</v>
      </c>
      <c r="N88" s="420"/>
    </row>
    <row r="89" spans="2:14" ht="16.5" customHeight="1" x14ac:dyDescent="0.45">
      <c r="B89" s="413" t="str">
        <f>IF(AND(Values_Entered,scheduled_no_payments&lt;&gt;1),B88+1,"")</f>
        <v/>
      </c>
      <c r="C89" s="414" t="str">
        <f>IF(Pay_Num&lt;&gt;"",DATE(YEAR(C88)+VLOOKUP(Interval,LoanLookup[#Data],4,FALSE),MONTH(C88)+VLOOKUP(Interval,LoanLookup[#Data],2,FALSE),DAY(C88)+VLOOKUP(Interval,LoanLookup[#Data],3,FALSE)),"")</f>
        <v/>
      </c>
      <c r="D89" s="415" t="str">
        <f t="shared" si="13"/>
        <v/>
      </c>
      <c r="E89" s="416" t="str">
        <f t="shared" si="10"/>
        <v/>
      </c>
      <c r="F89" s="417" t="e">
        <f>IF(scheduled_no_payments=1,"",IF(Sched_Pay+Scheduled_Extra_Payments&lt;Beg_Bal2,Scheduled_Extra_Payments,IF(AND(Pay_Num&lt;&gt;"",Beg_Bal2-Sched_Pay&gt;0),Beg_Bal2-Sched_Pay,IF(Pay_Num&lt;&gt;"",0,""))))</f>
        <v>#VALUE!</v>
      </c>
      <c r="G89" s="417"/>
      <c r="H89" s="417" t="e">
        <f t="shared" si="11"/>
        <v>#VALUE!</v>
      </c>
      <c r="I89" s="415" t="e">
        <f>IF(scheduled_no_payments=1,"",IF(Sched_Pay+Extra_Pay2&lt;Beg_Bal2,Sched_Pay+Extra_Pay2,IF(Pay_Num&lt;&gt;"",Beg_Bal2,"")))</f>
        <v>#VALUE!</v>
      </c>
      <c r="J89" s="415" t="str">
        <f t="shared" si="12"/>
        <v/>
      </c>
      <c r="K89" s="415" t="str">
        <f>IF(Pay_Num&lt;&gt;"",Beg_Bal2*(InterestRate/VLOOKUP(Interval,LoanLookup[],5,FALSE)),"")</f>
        <v/>
      </c>
      <c r="L89" s="415" t="e">
        <f t="shared" si="9"/>
        <v>#VALUE!</v>
      </c>
      <c r="M89" s="415" t="e">
        <f>IF(scheduled_no_payments=1,"",SUM($K$28:$K89))</f>
        <v>#VALUE!</v>
      </c>
      <c r="N89" s="420"/>
    </row>
    <row r="90" spans="2:14" ht="16.5" customHeight="1" x14ac:dyDescent="0.45">
      <c r="B90" s="413" t="str">
        <f>IF(AND(Values_Entered,scheduled_no_payments&lt;&gt;1),B89+1,"")</f>
        <v/>
      </c>
      <c r="C90" s="414" t="str">
        <f>IF(Pay_Num&lt;&gt;"",DATE(YEAR(C89)+VLOOKUP(Interval,LoanLookup[#Data],4,FALSE),MONTH(C89)+VLOOKUP(Interval,LoanLookup[#Data],2,FALSE),DAY(C89)+VLOOKUP(Interval,LoanLookup[#Data],3,FALSE)),"")</f>
        <v/>
      </c>
      <c r="D90" s="415" t="str">
        <f t="shared" si="13"/>
        <v/>
      </c>
      <c r="E90" s="416" t="str">
        <f t="shared" si="10"/>
        <v/>
      </c>
      <c r="F90" s="417" t="e">
        <f>IF(scheduled_no_payments=1,"",IF(Sched_Pay+Scheduled_Extra_Payments&lt;Beg_Bal2,Scheduled_Extra_Payments,IF(AND(Pay_Num&lt;&gt;"",Beg_Bal2-Sched_Pay&gt;0),Beg_Bal2-Sched_Pay,IF(Pay_Num&lt;&gt;"",0,""))))</f>
        <v>#VALUE!</v>
      </c>
      <c r="G90" s="417"/>
      <c r="H90" s="417" t="e">
        <f t="shared" si="11"/>
        <v>#VALUE!</v>
      </c>
      <c r="I90" s="415" t="e">
        <f>IF(scheduled_no_payments=1,"",IF(Sched_Pay+Extra_Pay2&lt;Beg_Bal2,Sched_Pay+Extra_Pay2,IF(Pay_Num&lt;&gt;"",Beg_Bal2,"")))</f>
        <v>#VALUE!</v>
      </c>
      <c r="J90" s="415" t="str">
        <f t="shared" si="12"/>
        <v/>
      </c>
      <c r="K90" s="415" t="str">
        <f>IF(Pay_Num&lt;&gt;"",Beg_Bal2*(InterestRate/VLOOKUP(Interval,LoanLookup[],5,FALSE)),"")</f>
        <v/>
      </c>
      <c r="L90" s="415" t="e">
        <f t="shared" si="9"/>
        <v>#VALUE!</v>
      </c>
      <c r="M90" s="415" t="e">
        <f>IF(scheduled_no_payments=1,"",SUM($K$28:$K90))</f>
        <v>#VALUE!</v>
      </c>
      <c r="N90" s="420"/>
    </row>
    <row r="91" spans="2:14" ht="16.5" customHeight="1" x14ac:dyDescent="0.45">
      <c r="B91" s="413" t="str">
        <f>IF(AND(Values_Entered,scheduled_no_payments&lt;&gt;1),B90+1,"")</f>
        <v/>
      </c>
      <c r="C91" s="414" t="str">
        <f>IF(Pay_Num&lt;&gt;"",DATE(YEAR(C90)+VLOOKUP(Interval,LoanLookup[#Data],4,FALSE),MONTH(C90)+VLOOKUP(Interval,LoanLookup[#Data],2,FALSE),DAY(C90)+VLOOKUP(Interval,LoanLookup[#Data],3,FALSE)),"")</f>
        <v/>
      </c>
      <c r="D91" s="415" t="str">
        <f t="shared" si="13"/>
        <v/>
      </c>
      <c r="E91" s="416" t="str">
        <f t="shared" si="10"/>
        <v/>
      </c>
      <c r="F91" s="417" t="e">
        <f>IF(scheduled_no_payments=1,"",IF(Sched_Pay+Scheduled_Extra_Payments&lt;Beg_Bal2,Scheduled_Extra_Payments,IF(AND(Pay_Num&lt;&gt;"",Beg_Bal2-Sched_Pay&gt;0),Beg_Bal2-Sched_Pay,IF(Pay_Num&lt;&gt;"",0,""))))</f>
        <v>#VALUE!</v>
      </c>
      <c r="G91" s="417"/>
      <c r="H91" s="417" t="e">
        <f t="shared" si="11"/>
        <v>#VALUE!</v>
      </c>
      <c r="I91" s="415" t="e">
        <f>IF(scheduled_no_payments=1,"",IF(Sched_Pay+Extra_Pay2&lt;Beg_Bal2,Sched_Pay+Extra_Pay2,IF(Pay_Num&lt;&gt;"",Beg_Bal2,"")))</f>
        <v>#VALUE!</v>
      </c>
      <c r="J91" s="415" t="str">
        <f t="shared" si="12"/>
        <v/>
      </c>
      <c r="K91" s="415" t="str">
        <f>IF(Pay_Num&lt;&gt;"",Beg_Bal2*(InterestRate/VLOOKUP(Interval,LoanLookup[],5,FALSE)),"")</f>
        <v/>
      </c>
      <c r="L91" s="415" t="e">
        <f t="shared" si="9"/>
        <v>#VALUE!</v>
      </c>
      <c r="M91" s="415" t="e">
        <f>IF(scheduled_no_payments=1,"",SUM($K$28:$K91))</f>
        <v>#VALUE!</v>
      </c>
      <c r="N91" s="420"/>
    </row>
    <row r="92" spans="2:14" ht="16.5" customHeight="1" x14ac:dyDescent="0.45">
      <c r="B92" s="413" t="str">
        <f>IF(AND(Values_Entered,scheduled_no_payments&lt;&gt;1),B91+1,"")</f>
        <v/>
      </c>
      <c r="C92" s="414" t="str">
        <f>IF(Pay_Num&lt;&gt;"",DATE(YEAR(C91)+VLOOKUP(Interval,LoanLookup[#Data],4,FALSE),MONTH(C91)+VLOOKUP(Interval,LoanLookup[#Data],2,FALSE),DAY(C91)+VLOOKUP(Interval,LoanLookup[#Data],3,FALSE)),"")</f>
        <v/>
      </c>
      <c r="D92" s="415" t="str">
        <f t="shared" si="13"/>
        <v/>
      </c>
      <c r="E92" s="416" t="str">
        <f t="shared" si="10"/>
        <v/>
      </c>
      <c r="F92" s="417" t="e">
        <f>IF(scheduled_no_payments=1,"",IF(Sched_Pay+Scheduled_Extra_Payments&lt;Beg_Bal2,Scheduled_Extra_Payments,IF(AND(Pay_Num&lt;&gt;"",Beg_Bal2-Sched_Pay&gt;0),Beg_Bal2-Sched_Pay,IF(Pay_Num&lt;&gt;"",0,""))))</f>
        <v>#VALUE!</v>
      </c>
      <c r="G92" s="417"/>
      <c r="H92" s="417" t="e">
        <f t="shared" si="11"/>
        <v>#VALUE!</v>
      </c>
      <c r="I92" s="415" t="e">
        <f>IF(scheduled_no_payments=1,"",IF(Sched_Pay+Extra_Pay2&lt;Beg_Bal2,Sched_Pay+Extra_Pay2,IF(Pay_Num&lt;&gt;"",Beg_Bal2,"")))</f>
        <v>#VALUE!</v>
      </c>
      <c r="J92" s="415" t="str">
        <f t="shared" si="12"/>
        <v/>
      </c>
      <c r="K92" s="415" t="str">
        <f>IF(Pay_Num&lt;&gt;"",Beg_Bal2*(InterestRate/VLOOKUP(Interval,LoanLookup[],5,FALSE)),"")</f>
        <v/>
      </c>
      <c r="L92" s="415" t="e">
        <f t="shared" ref="L92:L148" si="14">IF(AND(Pay_Num&lt;&gt;"",Sched_Pay+Extra_Pay2&lt;Beg_Bal2),Beg_Bal2-Princ,IF(Pay_Num&lt;&gt;"",0,""))</f>
        <v>#VALUE!</v>
      </c>
      <c r="M92" s="415" t="e">
        <f>IF(scheduled_no_payments=1,"",SUM($K$28:$K92))</f>
        <v>#VALUE!</v>
      </c>
      <c r="N92" s="420"/>
    </row>
    <row r="93" spans="2:14" ht="16.5" customHeight="1" x14ac:dyDescent="0.45">
      <c r="B93" s="413" t="str">
        <f>IF(AND(Values_Entered,scheduled_no_payments&lt;&gt;1),B92+1,"")</f>
        <v/>
      </c>
      <c r="C93" s="414" t="str">
        <f>IF(Pay_Num&lt;&gt;"",DATE(YEAR(C92)+VLOOKUP(Interval,LoanLookup[#Data],4,FALSE),MONTH(C92)+VLOOKUP(Interval,LoanLookup[#Data],2,FALSE),DAY(C92)+VLOOKUP(Interval,LoanLookup[#Data],3,FALSE)),"")</f>
        <v/>
      </c>
      <c r="D93" s="415" t="str">
        <f t="shared" ref="D93:D124" si="15">IF(Pay_Num&lt;&gt;"",L92,"")</f>
        <v/>
      </c>
      <c r="E93" s="416" t="str">
        <f t="shared" si="10"/>
        <v/>
      </c>
      <c r="F93" s="417" t="e">
        <f>IF(scheduled_no_payments=1,"",IF(Sched_Pay+Scheduled_Extra_Payments&lt;Beg_Bal2,Scheduled_Extra_Payments,IF(AND(Pay_Num&lt;&gt;"",Beg_Bal2-Sched_Pay&gt;0),Beg_Bal2-Sched_Pay,IF(Pay_Num&lt;&gt;"",0,""))))</f>
        <v>#VALUE!</v>
      </c>
      <c r="G93" s="417"/>
      <c r="H93" s="417" t="e">
        <f t="shared" si="11"/>
        <v>#VALUE!</v>
      </c>
      <c r="I93" s="415" t="e">
        <f>IF(scheduled_no_payments=1,"",IF(Sched_Pay+Extra_Pay2&lt;Beg_Bal2,Sched_Pay+Extra_Pay2,IF(Pay_Num&lt;&gt;"",Beg_Bal2,"")))</f>
        <v>#VALUE!</v>
      </c>
      <c r="J93" s="415" t="str">
        <f t="shared" ref="J93:J148" si="16">IF(Pay_Num&lt;&gt;"",Total_Pay-Int,"")</f>
        <v/>
      </c>
      <c r="K93" s="415" t="str">
        <f>IF(Pay_Num&lt;&gt;"",Beg_Bal2*(InterestRate/VLOOKUP(Interval,LoanLookup[],5,FALSE)),"")</f>
        <v/>
      </c>
      <c r="L93" s="415" t="e">
        <f t="shared" si="14"/>
        <v>#VALUE!</v>
      </c>
      <c r="M93" s="415" t="e">
        <f>IF(scheduled_no_payments=1,"",SUM($K$28:$K93))</f>
        <v>#VALUE!</v>
      </c>
      <c r="N93" s="420"/>
    </row>
    <row r="94" spans="2:14" ht="16.5" customHeight="1" x14ac:dyDescent="0.45">
      <c r="B94" s="413" t="str">
        <f>IF(AND(Values_Entered,scheduled_no_payments&lt;&gt;1),B93+1,"")</f>
        <v/>
      </c>
      <c r="C94" s="414" t="str">
        <f>IF(Pay_Num&lt;&gt;"",DATE(YEAR(C93)+VLOOKUP(Interval,LoanLookup[#Data],4,FALSE),MONTH(C93)+VLOOKUP(Interval,LoanLookup[#Data],2,FALSE),DAY(C93)+VLOOKUP(Interval,LoanLookup[#Data],3,FALSE)),"")</f>
        <v/>
      </c>
      <c r="D94" s="415" t="str">
        <f t="shared" si="15"/>
        <v/>
      </c>
      <c r="E94" s="416" t="str">
        <f t="shared" ref="E94:E148" si="17">IF(Pay_Num&lt;&gt;"",Scheduled_Monthly_Payment,"")</f>
        <v/>
      </c>
      <c r="F94" s="417" t="e">
        <f>IF(scheduled_no_payments=1,"",IF(Sched_Pay+Scheduled_Extra_Payments&lt;Beg_Bal2,Scheduled_Extra_Payments,IF(AND(Pay_Num&lt;&gt;"",Beg_Bal2-Sched_Pay&gt;0),Beg_Bal2-Sched_Pay,IF(Pay_Num&lt;&gt;"",0,""))))</f>
        <v>#VALUE!</v>
      </c>
      <c r="G94" s="417"/>
      <c r="H94" s="417" t="e">
        <f t="shared" ref="H94:H148" si="18">IF((G94-C94)&gt;14,F91,0)</f>
        <v>#VALUE!</v>
      </c>
      <c r="I94" s="415" t="e">
        <f>IF(scheduled_no_payments=1,"",IF(Sched_Pay+Extra_Pay2&lt;Beg_Bal2,Sched_Pay+Extra_Pay2,IF(Pay_Num&lt;&gt;"",Beg_Bal2,"")))</f>
        <v>#VALUE!</v>
      </c>
      <c r="J94" s="415" t="str">
        <f t="shared" si="16"/>
        <v/>
      </c>
      <c r="K94" s="415" t="str">
        <f>IF(Pay_Num&lt;&gt;"",Beg_Bal2*(InterestRate/VLOOKUP(Interval,LoanLookup[],5,FALSE)),"")</f>
        <v/>
      </c>
      <c r="L94" s="415" t="e">
        <f t="shared" si="14"/>
        <v>#VALUE!</v>
      </c>
      <c r="M94" s="415" t="e">
        <f>IF(scheduled_no_payments=1,"",SUM($K$28:$K94))</f>
        <v>#VALUE!</v>
      </c>
      <c r="N94" s="420"/>
    </row>
    <row r="95" spans="2:14" ht="16.5" customHeight="1" x14ac:dyDescent="0.45">
      <c r="B95" s="413" t="str">
        <f>IF(AND(Values_Entered,scheduled_no_payments&lt;&gt;1),B94+1,"")</f>
        <v/>
      </c>
      <c r="C95" s="414" t="str">
        <f>IF(Pay_Num&lt;&gt;"",DATE(YEAR(C94)+VLOOKUP(Interval,LoanLookup[#Data],4,FALSE),MONTH(C94)+VLOOKUP(Interval,LoanLookup[#Data],2,FALSE),DAY(C94)+VLOOKUP(Interval,LoanLookup[#Data],3,FALSE)),"")</f>
        <v/>
      </c>
      <c r="D95" s="415" t="str">
        <f t="shared" si="15"/>
        <v/>
      </c>
      <c r="E95" s="416" t="str">
        <f t="shared" si="17"/>
        <v/>
      </c>
      <c r="F95" s="417" t="e">
        <f>IF(scheduled_no_payments=1,"",IF(Sched_Pay+Scheduled_Extra_Payments&lt;Beg_Bal2,Scheduled_Extra_Payments,IF(AND(Pay_Num&lt;&gt;"",Beg_Bal2-Sched_Pay&gt;0),Beg_Bal2-Sched_Pay,IF(Pay_Num&lt;&gt;"",0,""))))</f>
        <v>#VALUE!</v>
      </c>
      <c r="G95" s="417"/>
      <c r="H95" s="417" t="e">
        <f t="shared" si="18"/>
        <v>#VALUE!</v>
      </c>
      <c r="I95" s="415" t="e">
        <f>IF(scheduled_no_payments=1,"",IF(Sched_Pay+Extra_Pay2&lt;Beg_Bal2,Sched_Pay+Extra_Pay2,IF(Pay_Num&lt;&gt;"",Beg_Bal2,"")))</f>
        <v>#VALUE!</v>
      </c>
      <c r="J95" s="415" t="str">
        <f t="shared" si="16"/>
        <v/>
      </c>
      <c r="K95" s="415" t="str">
        <f>IF(Pay_Num&lt;&gt;"",Beg_Bal2*(InterestRate/VLOOKUP(Interval,LoanLookup[],5,FALSE)),"")</f>
        <v/>
      </c>
      <c r="L95" s="415" t="e">
        <f t="shared" si="14"/>
        <v>#VALUE!</v>
      </c>
      <c r="M95" s="415" t="e">
        <f>IF(scheduled_no_payments=1,"",SUM($K$28:$K95))</f>
        <v>#VALUE!</v>
      </c>
      <c r="N95" s="420"/>
    </row>
    <row r="96" spans="2:14" ht="16.5" customHeight="1" x14ac:dyDescent="0.45">
      <c r="B96" s="413" t="str">
        <f>IF(AND(Values_Entered,scheduled_no_payments&lt;&gt;1),B95+1,"")</f>
        <v/>
      </c>
      <c r="C96" s="414" t="str">
        <f>IF(Pay_Num&lt;&gt;"",DATE(YEAR(C95)+VLOOKUP(Interval,LoanLookup[#Data],4,FALSE),MONTH(C95)+VLOOKUP(Interval,LoanLookup[#Data],2,FALSE),DAY(C95)+VLOOKUP(Interval,LoanLookup[#Data],3,FALSE)),"")</f>
        <v/>
      </c>
      <c r="D96" s="415" t="str">
        <f t="shared" si="15"/>
        <v/>
      </c>
      <c r="E96" s="416" t="str">
        <f t="shared" si="17"/>
        <v/>
      </c>
      <c r="F96" s="417" t="e">
        <f>IF(scheduled_no_payments=1,"",IF(Sched_Pay+Scheduled_Extra_Payments&lt;Beg_Bal2,Scheduled_Extra_Payments,IF(AND(Pay_Num&lt;&gt;"",Beg_Bal2-Sched_Pay&gt;0),Beg_Bal2-Sched_Pay,IF(Pay_Num&lt;&gt;"",0,""))))</f>
        <v>#VALUE!</v>
      </c>
      <c r="G96" s="417"/>
      <c r="H96" s="417" t="e">
        <f t="shared" si="18"/>
        <v>#VALUE!</v>
      </c>
      <c r="I96" s="415" t="e">
        <f>IF(scheduled_no_payments=1,"",IF(Sched_Pay+Extra_Pay2&lt;Beg_Bal2,Sched_Pay+Extra_Pay2,IF(Pay_Num&lt;&gt;"",Beg_Bal2,"")))</f>
        <v>#VALUE!</v>
      </c>
      <c r="J96" s="415" t="str">
        <f t="shared" si="16"/>
        <v/>
      </c>
      <c r="K96" s="415" t="str">
        <f>IF(Pay_Num&lt;&gt;"",Beg_Bal2*(InterestRate/VLOOKUP(Interval,LoanLookup[],5,FALSE)),"")</f>
        <v/>
      </c>
      <c r="L96" s="415" t="e">
        <f t="shared" si="14"/>
        <v>#VALUE!</v>
      </c>
      <c r="M96" s="415" t="e">
        <f>IF(scheduled_no_payments=1,"",SUM($K$28:$K96))</f>
        <v>#VALUE!</v>
      </c>
      <c r="N96" s="420"/>
    </row>
    <row r="97" spans="2:14" ht="16.5" customHeight="1" x14ac:dyDescent="0.45">
      <c r="B97" s="413" t="str">
        <f>IF(AND(Values_Entered,scheduled_no_payments&lt;&gt;1),B96+1,"")</f>
        <v/>
      </c>
      <c r="C97" s="414" t="str">
        <f>IF(Pay_Num&lt;&gt;"",DATE(YEAR(C96)+VLOOKUP(Interval,LoanLookup[#Data],4,FALSE),MONTH(C96)+VLOOKUP(Interval,LoanLookup[#Data],2,FALSE),DAY(C96)+VLOOKUP(Interval,LoanLookup[#Data],3,FALSE)),"")</f>
        <v/>
      </c>
      <c r="D97" s="415" t="str">
        <f t="shared" si="15"/>
        <v/>
      </c>
      <c r="E97" s="416" t="str">
        <f t="shared" si="17"/>
        <v/>
      </c>
      <c r="F97" s="417" t="e">
        <f>IF(scheduled_no_payments=1,"",IF(Sched_Pay+Scheduled_Extra_Payments&lt;Beg_Bal2,Scheduled_Extra_Payments,IF(AND(Pay_Num&lt;&gt;"",Beg_Bal2-Sched_Pay&gt;0),Beg_Bal2-Sched_Pay,IF(Pay_Num&lt;&gt;"",0,""))))</f>
        <v>#VALUE!</v>
      </c>
      <c r="G97" s="417"/>
      <c r="H97" s="417" t="e">
        <f t="shared" si="18"/>
        <v>#VALUE!</v>
      </c>
      <c r="I97" s="415" t="e">
        <f>IF(scheduled_no_payments=1,"",IF(Sched_Pay+Extra_Pay2&lt;Beg_Bal2,Sched_Pay+Extra_Pay2,IF(Pay_Num&lt;&gt;"",Beg_Bal2,"")))</f>
        <v>#VALUE!</v>
      </c>
      <c r="J97" s="415" t="str">
        <f t="shared" si="16"/>
        <v/>
      </c>
      <c r="K97" s="415" t="str">
        <f>IF(Pay_Num&lt;&gt;"",Beg_Bal2*(InterestRate/VLOOKUP(Interval,LoanLookup[],5,FALSE)),"")</f>
        <v/>
      </c>
      <c r="L97" s="415" t="e">
        <f t="shared" si="14"/>
        <v>#VALUE!</v>
      </c>
      <c r="M97" s="415" t="e">
        <f>IF(scheduled_no_payments=1,"",SUM($K$28:$K97))</f>
        <v>#VALUE!</v>
      </c>
      <c r="N97" s="420"/>
    </row>
    <row r="98" spans="2:14" ht="16.5" customHeight="1" x14ac:dyDescent="0.45">
      <c r="B98" s="413" t="str">
        <f>IF(AND(Values_Entered,scheduled_no_payments&lt;&gt;1),B97+1,"")</f>
        <v/>
      </c>
      <c r="C98" s="414" t="str">
        <f>IF(Pay_Num&lt;&gt;"",DATE(YEAR(C97)+VLOOKUP(Interval,LoanLookup[#Data],4,FALSE),MONTH(C97)+VLOOKUP(Interval,LoanLookup[#Data],2,FALSE),DAY(C97)+VLOOKUP(Interval,LoanLookup[#Data],3,FALSE)),"")</f>
        <v/>
      </c>
      <c r="D98" s="415" t="str">
        <f t="shared" si="15"/>
        <v/>
      </c>
      <c r="E98" s="416" t="str">
        <f t="shared" si="17"/>
        <v/>
      </c>
      <c r="F98" s="417" t="e">
        <f>IF(scheduled_no_payments=1,"",IF(Sched_Pay+Scheduled_Extra_Payments&lt;Beg_Bal2,Scheduled_Extra_Payments,IF(AND(Pay_Num&lt;&gt;"",Beg_Bal2-Sched_Pay&gt;0),Beg_Bal2-Sched_Pay,IF(Pay_Num&lt;&gt;"",0,""))))</f>
        <v>#VALUE!</v>
      </c>
      <c r="G98" s="417"/>
      <c r="H98" s="417" t="e">
        <f t="shared" si="18"/>
        <v>#VALUE!</v>
      </c>
      <c r="I98" s="415" t="e">
        <f>IF(scheduled_no_payments=1,"",IF(Sched_Pay+Extra_Pay2&lt;Beg_Bal2,Sched_Pay+Extra_Pay2,IF(Pay_Num&lt;&gt;"",Beg_Bal2,"")))</f>
        <v>#VALUE!</v>
      </c>
      <c r="J98" s="415" t="str">
        <f t="shared" si="16"/>
        <v/>
      </c>
      <c r="K98" s="415" t="str">
        <f>IF(Pay_Num&lt;&gt;"",Beg_Bal2*(InterestRate/VLOOKUP(Interval,LoanLookup[],5,FALSE)),"")</f>
        <v/>
      </c>
      <c r="L98" s="415" t="e">
        <f t="shared" si="14"/>
        <v>#VALUE!</v>
      </c>
      <c r="M98" s="415" t="e">
        <f>IF(scheduled_no_payments=1,"",SUM($K$28:$K98))</f>
        <v>#VALUE!</v>
      </c>
      <c r="N98" s="420"/>
    </row>
    <row r="99" spans="2:14" ht="16.5" customHeight="1" x14ac:dyDescent="0.45">
      <c r="B99" s="413" t="str">
        <f>IF(AND(Values_Entered,scheduled_no_payments&lt;&gt;1),B98+1,"")</f>
        <v/>
      </c>
      <c r="C99" s="414" t="str">
        <f>IF(Pay_Num&lt;&gt;"",DATE(YEAR(C98)+VLOOKUP(Interval,LoanLookup[#Data],4,FALSE),MONTH(C98)+VLOOKUP(Interval,LoanLookup[#Data],2,FALSE),DAY(C98)+VLOOKUP(Interval,LoanLookup[#Data],3,FALSE)),"")</f>
        <v/>
      </c>
      <c r="D99" s="415" t="str">
        <f t="shared" si="15"/>
        <v/>
      </c>
      <c r="E99" s="416" t="str">
        <f t="shared" si="17"/>
        <v/>
      </c>
      <c r="F99" s="417" t="e">
        <f>IF(scheduled_no_payments=1,"",IF(Sched_Pay+Scheduled_Extra_Payments&lt;Beg_Bal2,Scheduled_Extra_Payments,IF(AND(Pay_Num&lt;&gt;"",Beg_Bal2-Sched_Pay&gt;0),Beg_Bal2-Sched_Pay,IF(Pay_Num&lt;&gt;"",0,""))))</f>
        <v>#VALUE!</v>
      </c>
      <c r="G99" s="417"/>
      <c r="H99" s="417" t="e">
        <f t="shared" si="18"/>
        <v>#VALUE!</v>
      </c>
      <c r="I99" s="415" t="e">
        <f>IF(scheduled_no_payments=1,"",IF(Sched_Pay+Extra_Pay2&lt;Beg_Bal2,Sched_Pay+Extra_Pay2,IF(Pay_Num&lt;&gt;"",Beg_Bal2,"")))</f>
        <v>#VALUE!</v>
      </c>
      <c r="J99" s="415" t="str">
        <f t="shared" si="16"/>
        <v/>
      </c>
      <c r="K99" s="415" t="str">
        <f>IF(Pay_Num&lt;&gt;"",Beg_Bal2*(InterestRate/VLOOKUP(Interval,LoanLookup[],5,FALSE)),"")</f>
        <v/>
      </c>
      <c r="L99" s="415" t="e">
        <f t="shared" si="14"/>
        <v>#VALUE!</v>
      </c>
      <c r="M99" s="415" t="e">
        <f>IF(scheduled_no_payments=1,"",SUM($K$28:$K99))</f>
        <v>#VALUE!</v>
      </c>
      <c r="N99" s="420"/>
    </row>
    <row r="100" spans="2:14" ht="16.5" customHeight="1" x14ac:dyDescent="0.45">
      <c r="B100" s="413" t="str">
        <f>IF(AND(Values_Entered,scheduled_no_payments&lt;&gt;1),B99+1,"")</f>
        <v/>
      </c>
      <c r="C100" s="414" t="str">
        <f>IF(Pay_Num&lt;&gt;"",DATE(YEAR(C99)+VLOOKUP(Interval,LoanLookup[#Data],4,FALSE),MONTH(C99)+VLOOKUP(Interval,LoanLookup[#Data],2,FALSE),DAY(C99)+VLOOKUP(Interval,LoanLookup[#Data],3,FALSE)),"")</f>
        <v/>
      </c>
      <c r="D100" s="415" t="str">
        <f t="shared" si="15"/>
        <v/>
      </c>
      <c r="E100" s="416" t="str">
        <f t="shared" si="17"/>
        <v/>
      </c>
      <c r="F100" s="417" t="e">
        <f>IF(scheduled_no_payments=1,"",IF(Sched_Pay+Scheduled_Extra_Payments&lt;Beg_Bal2,Scheduled_Extra_Payments,IF(AND(Pay_Num&lt;&gt;"",Beg_Bal2-Sched_Pay&gt;0),Beg_Bal2-Sched_Pay,IF(Pay_Num&lt;&gt;"",0,""))))</f>
        <v>#VALUE!</v>
      </c>
      <c r="G100" s="417"/>
      <c r="H100" s="417" t="e">
        <f t="shared" si="18"/>
        <v>#VALUE!</v>
      </c>
      <c r="I100" s="415" t="e">
        <f>IF(scheduled_no_payments=1,"",IF(Sched_Pay+Extra_Pay2&lt;Beg_Bal2,Sched_Pay+Extra_Pay2,IF(Pay_Num&lt;&gt;"",Beg_Bal2,"")))</f>
        <v>#VALUE!</v>
      </c>
      <c r="J100" s="415" t="str">
        <f t="shared" si="16"/>
        <v/>
      </c>
      <c r="K100" s="415" t="str">
        <f>IF(Pay_Num&lt;&gt;"",Beg_Bal2*(InterestRate/VLOOKUP(Interval,LoanLookup[],5,FALSE)),"")</f>
        <v/>
      </c>
      <c r="L100" s="415" t="e">
        <f t="shared" si="14"/>
        <v>#VALUE!</v>
      </c>
      <c r="M100" s="415" t="e">
        <f>IF(scheduled_no_payments=1,"",SUM($K$28:$K100))</f>
        <v>#VALUE!</v>
      </c>
      <c r="N100" s="420"/>
    </row>
    <row r="101" spans="2:14" ht="16.5" customHeight="1" x14ac:dyDescent="0.45">
      <c r="B101" s="413" t="str">
        <f>IF(AND(Values_Entered,scheduled_no_payments&lt;&gt;1),B100+1,"")</f>
        <v/>
      </c>
      <c r="C101" s="414" t="str">
        <f>IF(Pay_Num&lt;&gt;"",DATE(YEAR(C100)+VLOOKUP(Interval,LoanLookup[#Data],4,FALSE),MONTH(C100)+VLOOKUP(Interval,LoanLookup[#Data],2,FALSE),DAY(C100)+VLOOKUP(Interval,LoanLookup[#Data],3,FALSE)),"")</f>
        <v/>
      </c>
      <c r="D101" s="415" t="str">
        <f t="shared" si="15"/>
        <v/>
      </c>
      <c r="E101" s="416" t="str">
        <f t="shared" si="17"/>
        <v/>
      </c>
      <c r="F101" s="417" t="e">
        <f>IF(scheduled_no_payments=1,"",IF(Sched_Pay+Scheduled_Extra_Payments&lt;Beg_Bal2,Scheduled_Extra_Payments,IF(AND(Pay_Num&lt;&gt;"",Beg_Bal2-Sched_Pay&gt;0),Beg_Bal2-Sched_Pay,IF(Pay_Num&lt;&gt;"",0,""))))</f>
        <v>#VALUE!</v>
      </c>
      <c r="G101" s="417"/>
      <c r="H101" s="417" t="e">
        <f t="shared" si="18"/>
        <v>#VALUE!</v>
      </c>
      <c r="I101" s="415" t="e">
        <f>IF(scheduled_no_payments=1,"",IF(Sched_Pay+Extra_Pay2&lt;Beg_Bal2,Sched_Pay+Extra_Pay2,IF(Pay_Num&lt;&gt;"",Beg_Bal2,"")))</f>
        <v>#VALUE!</v>
      </c>
      <c r="J101" s="415" t="str">
        <f t="shared" si="16"/>
        <v/>
      </c>
      <c r="K101" s="415" t="str">
        <f>IF(Pay_Num&lt;&gt;"",Beg_Bal2*(InterestRate/VLOOKUP(Interval,LoanLookup[],5,FALSE)),"")</f>
        <v/>
      </c>
      <c r="L101" s="415" t="e">
        <f t="shared" si="14"/>
        <v>#VALUE!</v>
      </c>
      <c r="M101" s="415" t="e">
        <f>IF(scheduled_no_payments=1,"",SUM($K$28:$K101))</f>
        <v>#VALUE!</v>
      </c>
      <c r="N101" s="420"/>
    </row>
    <row r="102" spans="2:14" ht="16.5" customHeight="1" x14ac:dyDescent="0.45">
      <c r="B102" s="413" t="str">
        <f>IF(AND(Values_Entered,scheduled_no_payments&lt;&gt;1),B101+1,"")</f>
        <v/>
      </c>
      <c r="C102" s="414" t="str">
        <f>IF(Pay_Num&lt;&gt;"",DATE(YEAR(C101)+VLOOKUP(Interval,LoanLookup[#Data],4,FALSE),MONTH(C101)+VLOOKUP(Interval,LoanLookup[#Data],2,FALSE),DAY(C101)+VLOOKUP(Interval,LoanLookup[#Data],3,FALSE)),"")</f>
        <v/>
      </c>
      <c r="D102" s="415" t="str">
        <f t="shared" si="15"/>
        <v/>
      </c>
      <c r="E102" s="416" t="str">
        <f t="shared" si="17"/>
        <v/>
      </c>
      <c r="F102" s="417" t="e">
        <f>IF(scheduled_no_payments=1,"",IF(Sched_Pay+Scheduled_Extra_Payments&lt;Beg_Bal2,Scheduled_Extra_Payments,IF(AND(Pay_Num&lt;&gt;"",Beg_Bal2-Sched_Pay&gt;0),Beg_Bal2-Sched_Pay,IF(Pay_Num&lt;&gt;"",0,""))))</f>
        <v>#VALUE!</v>
      </c>
      <c r="G102" s="417"/>
      <c r="H102" s="417" t="e">
        <f t="shared" si="18"/>
        <v>#VALUE!</v>
      </c>
      <c r="I102" s="415" t="e">
        <f>IF(scheduled_no_payments=1,"",IF(Sched_Pay+Extra_Pay2&lt;Beg_Bal2,Sched_Pay+Extra_Pay2,IF(Pay_Num&lt;&gt;"",Beg_Bal2,"")))</f>
        <v>#VALUE!</v>
      </c>
      <c r="J102" s="415" t="str">
        <f t="shared" si="16"/>
        <v/>
      </c>
      <c r="K102" s="415" t="str">
        <f>IF(Pay_Num&lt;&gt;"",Beg_Bal2*(InterestRate/VLOOKUP(Interval,LoanLookup[],5,FALSE)),"")</f>
        <v/>
      </c>
      <c r="L102" s="415" t="e">
        <f t="shared" si="14"/>
        <v>#VALUE!</v>
      </c>
      <c r="M102" s="415" t="e">
        <f>IF(scheduled_no_payments=1,"",SUM($K$28:$K102))</f>
        <v>#VALUE!</v>
      </c>
      <c r="N102" s="420"/>
    </row>
    <row r="103" spans="2:14" ht="16.5" customHeight="1" x14ac:dyDescent="0.45">
      <c r="B103" s="413" t="str">
        <f>IF(AND(Values_Entered,scheduled_no_payments&lt;&gt;1),B102+1,"")</f>
        <v/>
      </c>
      <c r="C103" s="414" t="str">
        <f>IF(Pay_Num&lt;&gt;"",DATE(YEAR(C102)+VLOOKUP(Interval,LoanLookup[#Data],4,FALSE),MONTH(C102)+VLOOKUP(Interval,LoanLookup[#Data],2,FALSE),DAY(C102)+VLOOKUP(Interval,LoanLookup[#Data],3,FALSE)),"")</f>
        <v/>
      </c>
      <c r="D103" s="415" t="str">
        <f t="shared" si="15"/>
        <v/>
      </c>
      <c r="E103" s="416" t="str">
        <f t="shared" si="17"/>
        <v/>
      </c>
      <c r="F103" s="417" t="e">
        <f>IF(scheduled_no_payments=1,"",IF(Sched_Pay+Scheduled_Extra_Payments&lt;Beg_Bal2,Scheduled_Extra_Payments,IF(AND(Pay_Num&lt;&gt;"",Beg_Bal2-Sched_Pay&gt;0),Beg_Bal2-Sched_Pay,IF(Pay_Num&lt;&gt;"",0,""))))</f>
        <v>#VALUE!</v>
      </c>
      <c r="G103" s="417"/>
      <c r="H103" s="417" t="e">
        <f t="shared" si="18"/>
        <v>#VALUE!</v>
      </c>
      <c r="I103" s="415" t="e">
        <f>IF(scheduled_no_payments=1,"",IF(Sched_Pay+Extra_Pay2&lt;Beg_Bal2,Sched_Pay+Extra_Pay2,IF(Pay_Num&lt;&gt;"",Beg_Bal2,"")))</f>
        <v>#VALUE!</v>
      </c>
      <c r="J103" s="415" t="str">
        <f t="shared" si="16"/>
        <v/>
      </c>
      <c r="K103" s="415" t="str">
        <f>IF(Pay_Num&lt;&gt;"",Beg_Bal2*(InterestRate/VLOOKUP(Interval,LoanLookup[],5,FALSE)),"")</f>
        <v/>
      </c>
      <c r="L103" s="415" t="e">
        <f t="shared" si="14"/>
        <v>#VALUE!</v>
      </c>
      <c r="M103" s="415" t="e">
        <f>IF(scheduled_no_payments=1,"",SUM($K$28:$K103))</f>
        <v>#VALUE!</v>
      </c>
      <c r="N103" s="420"/>
    </row>
    <row r="104" spans="2:14" ht="16.5" customHeight="1" x14ac:dyDescent="0.45">
      <c r="B104" s="413" t="str">
        <f>IF(AND(Values_Entered,scheduled_no_payments&lt;&gt;1),B103+1,"")</f>
        <v/>
      </c>
      <c r="C104" s="414" t="str">
        <f>IF(Pay_Num&lt;&gt;"",DATE(YEAR(C103)+VLOOKUP(Interval,LoanLookup[#Data],4,FALSE),MONTH(C103)+VLOOKUP(Interval,LoanLookup[#Data],2,FALSE),DAY(C103)+VLOOKUP(Interval,LoanLookup[#Data],3,FALSE)),"")</f>
        <v/>
      </c>
      <c r="D104" s="415" t="str">
        <f t="shared" si="15"/>
        <v/>
      </c>
      <c r="E104" s="416" t="str">
        <f t="shared" si="17"/>
        <v/>
      </c>
      <c r="F104" s="417" t="e">
        <f>IF(scheduled_no_payments=1,"",IF(Sched_Pay+Scheduled_Extra_Payments&lt;Beg_Bal2,Scheduled_Extra_Payments,IF(AND(Pay_Num&lt;&gt;"",Beg_Bal2-Sched_Pay&gt;0),Beg_Bal2-Sched_Pay,IF(Pay_Num&lt;&gt;"",0,""))))</f>
        <v>#VALUE!</v>
      </c>
      <c r="G104" s="417"/>
      <c r="H104" s="417" t="e">
        <f t="shared" si="18"/>
        <v>#VALUE!</v>
      </c>
      <c r="I104" s="415" t="e">
        <f>IF(scheduled_no_payments=1,"",IF(Sched_Pay+Extra_Pay2&lt;Beg_Bal2,Sched_Pay+Extra_Pay2,IF(Pay_Num&lt;&gt;"",Beg_Bal2,"")))</f>
        <v>#VALUE!</v>
      </c>
      <c r="J104" s="415" t="str">
        <f t="shared" si="16"/>
        <v/>
      </c>
      <c r="K104" s="415" t="str">
        <f>IF(Pay_Num&lt;&gt;"",Beg_Bal2*(InterestRate/VLOOKUP(Interval,LoanLookup[],5,FALSE)),"")</f>
        <v/>
      </c>
      <c r="L104" s="415" t="e">
        <f t="shared" si="14"/>
        <v>#VALUE!</v>
      </c>
      <c r="M104" s="415" t="e">
        <f>IF(scheduled_no_payments=1,"",SUM($K$28:$K104))</f>
        <v>#VALUE!</v>
      </c>
      <c r="N104" s="420"/>
    </row>
    <row r="105" spans="2:14" ht="16.5" customHeight="1" x14ac:dyDescent="0.45">
      <c r="B105" s="413" t="str">
        <f>IF(AND(Values_Entered,scheduled_no_payments&lt;&gt;1),B104+1,"")</f>
        <v/>
      </c>
      <c r="C105" s="414" t="str">
        <f>IF(Pay_Num&lt;&gt;"",DATE(YEAR(C104)+VLOOKUP(Interval,LoanLookup[#Data],4,FALSE),MONTH(C104)+VLOOKUP(Interval,LoanLookup[#Data],2,FALSE),DAY(C104)+VLOOKUP(Interval,LoanLookup[#Data],3,FALSE)),"")</f>
        <v/>
      </c>
      <c r="D105" s="415" t="str">
        <f t="shared" si="15"/>
        <v/>
      </c>
      <c r="E105" s="416" t="str">
        <f t="shared" si="17"/>
        <v/>
      </c>
      <c r="F105" s="417" t="e">
        <f>IF(scheduled_no_payments=1,"",IF(Sched_Pay+Scheduled_Extra_Payments&lt;Beg_Bal2,Scheduled_Extra_Payments,IF(AND(Pay_Num&lt;&gt;"",Beg_Bal2-Sched_Pay&gt;0),Beg_Bal2-Sched_Pay,IF(Pay_Num&lt;&gt;"",0,""))))</f>
        <v>#VALUE!</v>
      </c>
      <c r="G105" s="417"/>
      <c r="H105" s="417" t="e">
        <f t="shared" si="18"/>
        <v>#VALUE!</v>
      </c>
      <c r="I105" s="415" t="e">
        <f>IF(scheduled_no_payments=1,"",IF(Sched_Pay+Extra_Pay2&lt;Beg_Bal2,Sched_Pay+Extra_Pay2,IF(Pay_Num&lt;&gt;"",Beg_Bal2,"")))</f>
        <v>#VALUE!</v>
      </c>
      <c r="J105" s="415" t="str">
        <f t="shared" si="16"/>
        <v/>
      </c>
      <c r="K105" s="415" t="str">
        <f>IF(Pay_Num&lt;&gt;"",Beg_Bal2*(InterestRate/VLOOKUP(Interval,LoanLookup[],5,FALSE)),"")</f>
        <v/>
      </c>
      <c r="L105" s="415" t="e">
        <f t="shared" si="14"/>
        <v>#VALUE!</v>
      </c>
      <c r="M105" s="415" t="e">
        <f>IF(scheduled_no_payments=1,"",SUM($K$28:$K105))</f>
        <v>#VALUE!</v>
      </c>
      <c r="N105" s="420"/>
    </row>
    <row r="106" spans="2:14" ht="16.5" customHeight="1" x14ac:dyDescent="0.45">
      <c r="B106" s="413" t="str">
        <f>IF(AND(Values_Entered,scheduled_no_payments&lt;&gt;1),B105+1,"")</f>
        <v/>
      </c>
      <c r="C106" s="414" t="str">
        <f>IF(Pay_Num&lt;&gt;"",DATE(YEAR(C105)+VLOOKUP(Interval,LoanLookup[#Data],4,FALSE),MONTH(C105)+VLOOKUP(Interval,LoanLookup[#Data],2,FALSE),DAY(C105)+VLOOKUP(Interval,LoanLookup[#Data],3,FALSE)),"")</f>
        <v/>
      </c>
      <c r="D106" s="415" t="str">
        <f t="shared" si="15"/>
        <v/>
      </c>
      <c r="E106" s="416" t="str">
        <f t="shared" si="17"/>
        <v/>
      </c>
      <c r="F106" s="417" t="e">
        <f>IF(scheduled_no_payments=1,"",IF(Sched_Pay+Scheduled_Extra_Payments&lt;Beg_Bal2,Scheduled_Extra_Payments,IF(AND(Pay_Num&lt;&gt;"",Beg_Bal2-Sched_Pay&gt;0),Beg_Bal2-Sched_Pay,IF(Pay_Num&lt;&gt;"",0,""))))</f>
        <v>#VALUE!</v>
      </c>
      <c r="G106" s="417"/>
      <c r="H106" s="417" t="e">
        <f t="shared" si="18"/>
        <v>#VALUE!</v>
      </c>
      <c r="I106" s="415" t="e">
        <f>IF(scheduled_no_payments=1,"",IF(Sched_Pay+Extra_Pay2&lt;Beg_Bal2,Sched_Pay+Extra_Pay2,IF(Pay_Num&lt;&gt;"",Beg_Bal2,"")))</f>
        <v>#VALUE!</v>
      </c>
      <c r="J106" s="415" t="str">
        <f t="shared" si="16"/>
        <v/>
      </c>
      <c r="K106" s="415" t="str">
        <f>IF(Pay_Num&lt;&gt;"",Beg_Bal2*(InterestRate/VLOOKUP(Interval,LoanLookup[],5,FALSE)),"")</f>
        <v/>
      </c>
      <c r="L106" s="415" t="e">
        <f t="shared" si="14"/>
        <v>#VALUE!</v>
      </c>
      <c r="M106" s="415" t="e">
        <f>IF(scheduled_no_payments=1,"",SUM($K$28:$K106))</f>
        <v>#VALUE!</v>
      </c>
      <c r="N106" s="420"/>
    </row>
    <row r="107" spans="2:14" ht="16.5" customHeight="1" x14ac:dyDescent="0.45">
      <c r="B107" s="413" t="str">
        <f>IF(AND(Values_Entered,scheduled_no_payments&lt;&gt;1),B106+1,"")</f>
        <v/>
      </c>
      <c r="C107" s="414" t="str">
        <f>IF(Pay_Num&lt;&gt;"",DATE(YEAR(C106)+VLOOKUP(Interval,LoanLookup[#Data],4,FALSE),MONTH(C106)+VLOOKUP(Interval,LoanLookup[#Data],2,FALSE),DAY(C106)+VLOOKUP(Interval,LoanLookup[#Data],3,FALSE)),"")</f>
        <v/>
      </c>
      <c r="D107" s="415" t="str">
        <f t="shared" si="15"/>
        <v/>
      </c>
      <c r="E107" s="416" t="str">
        <f t="shared" si="17"/>
        <v/>
      </c>
      <c r="F107" s="417" t="e">
        <f>IF(scheduled_no_payments=1,"",IF(Sched_Pay+Scheduled_Extra_Payments&lt;Beg_Bal2,Scheduled_Extra_Payments,IF(AND(Pay_Num&lt;&gt;"",Beg_Bal2-Sched_Pay&gt;0),Beg_Bal2-Sched_Pay,IF(Pay_Num&lt;&gt;"",0,""))))</f>
        <v>#VALUE!</v>
      </c>
      <c r="G107" s="417"/>
      <c r="H107" s="417" t="e">
        <f t="shared" si="18"/>
        <v>#VALUE!</v>
      </c>
      <c r="I107" s="415" t="e">
        <f>IF(scheduled_no_payments=1,"",IF(Sched_Pay+Extra_Pay2&lt;Beg_Bal2,Sched_Pay+Extra_Pay2,IF(Pay_Num&lt;&gt;"",Beg_Bal2,"")))</f>
        <v>#VALUE!</v>
      </c>
      <c r="J107" s="415" t="str">
        <f t="shared" si="16"/>
        <v/>
      </c>
      <c r="K107" s="415" t="str">
        <f>IF(Pay_Num&lt;&gt;"",Beg_Bal2*(InterestRate/VLOOKUP(Interval,LoanLookup[],5,FALSE)),"")</f>
        <v/>
      </c>
      <c r="L107" s="415" t="e">
        <f t="shared" si="14"/>
        <v>#VALUE!</v>
      </c>
      <c r="M107" s="415" t="e">
        <f>IF(scheduled_no_payments=1,"",SUM($K$28:$K107))</f>
        <v>#VALUE!</v>
      </c>
      <c r="N107" s="420"/>
    </row>
    <row r="108" spans="2:14" ht="16.5" customHeight="1" x14ac:dyDescent="0.45">
      <c r="B108" s="413" t="str">
        <f>IF(AND(Values_Entered,scheduled_no_payments&lt;&gt;1),B107+1,"")</f>
        <v/>
      </c>
      <c r="C108" s="414" t="str">
        <f>IF(Pay_Num&lt;&gt;"",DATE(YEAR(C107)+VLOOKUP(Interval,LoanLookup[#Data],4,FALSE),MONTH(C107)+VLOOKUP(Interval,LoanLookup[#Data],2,FALSE),DAY(C107)+VLOOKUP(Interval,LoanLookup[#Data],3,FALSE)),"")</f>
        <v/>
      </c>
      <c r="D108" s="415" t="str">
        <f t="shared" si="15"/>
        <v/>
      </c>
      <c r="E108" s="416" t="str">
        <f t="shared" si="17"/>
        <v/>
      </c>
      <c r="F108" s="417" t="e">
        <f>IF(scheduled_no_payments=1,"",IF(Sched_Pay+Scheduled_Extra_Payments&lt;Beg_Bal2,Scheduled_Extra_Payments,IF(AND(Pay_Num&lt;&gt;"",Beg_Bal2-Sched_Pay&gt;0),Beg_Bal2-Sched_Pay,IF(Pay_Num&lt;&gt;"",0,""))))</f>
        <v>#VALUE!</v>
      </c>
      <c r="G108" s="417"/>
      <c r="H108" s="417" t="e">
        <f t="shared" si="18"/>
        <v>#VALUE!</v>
      </c>
      <c r="I108" s="415" t="e">
        <f>IF(scheduled_no_payments=1,"",IF(Sched_Pay+Extra_Pay2&lt;Beg_Bal2,Sched_Pay+Extra_Pay2,IF(Pay_Num&lt;&gt;"",Beg_Bal2,"")))</f>
        <v>#VALUE!</v>
      </c>
      <c r="J108" s="415" t="str">
        <f t="shared" si="16"/>
        <v/>
      </c>
      <c r="K108" s="415" t="str">
        <f>IF(Pay_Num&lt;&gt;"",Beg_Bal2*(InterestRate/VLOOKUP(Interval,LoanLookup[],5,FALSE)),"")</f>
        <v/>
      </c>
      <c r="L108" s="415" t="e">
        <f t="shared" si="14"/>
        <v>#VALUE!</v>
      </c>
      <c r="M108" s="415" t="e">
        <f>IF(scheduled_no_payments=1,"",SUM($K$28:$K108))</f>
        <v>#VALUE!</v>
      </c>
      <c r="N108" s="420"/>
    </row>
    <row r="109" spans="2:14" ht="16.5" customHeight="1" x14ac:dyDescent="0.45">
      <c r="B109" s="413" t="str">
        <f>IF(AND(Values_Entered,scheduled_no_payments&lt;&gt;1),B108+1,"")</f>
        <v/>
      </c>
      <c r="C109" s="414" t="str">
        <f>IF(Pay_Num&lt;&gt;"",DATE(YEAR(C108)+VLOOKUP(Interval,LoanLookup[#Data],4,FALSE),MONTH(C108)+VLOOKUP(Interval,LoanLookup[#Data],2,FALSE),DAY(C108)+VLOOKUP(Interval,LoanLookup[#Data],3,FALSE)),"")</f>
        <v/>
      </c>
      <c r="D109" s="415" t="str">
        <f t="shared" si="15"/>
        <v/>
      </c>
      <c r="E109" s="416" t="str">
        <f t="shared" si="17"/>
        <v/>
      </c>
      <c r="F109" s="417" t="e">
        <f>IF(scheduled_no_payments=1,"",IF(Sched_Pay+Scheduled_Extra_Payments&lt;Beg_Bal2,Scheduled_Extra_Payments,IF(AND(Pay_Num&lt;&gt;"",Beg_Bal2-Sched_Pay&gt;0),Beg_Bal2-Sched_Pay,IF(Pay_Num&lt;&gt;"",0,""))))</f>
        <v>#VALUE!</v>
      </c>
      <c r="G109" s="417"/>
      <c r="H109" s="417" t="e">
        <f t="shared" si="18"/>
        <v>#VALUE!</v>
      </c>
      <c r="I109" s="415" t="e">
        <f>IF(scheduled_no_payments=1,"",IF(Sched_Pay+Extra_Pay2&lt;Beg_Bal2,Sched_Pay+Extra_Pay2,IF(Pay_Num&lt;&gt;"",Beg_Bal2,"")))</f>
        <v>#VALUE!</v>
      </c>
      <c r="J109" s="415" t="str">
        <f t="shared" si="16"/>
        <v/>
      </c>
      <c r="K109" s="415" t="str">
        <f>IF(Pay_Num&lt;&gt;"",Beg_Bal2*(InterestRate/VLOOKUP(Interval,LoanLookup[],5,FALSE)),"")</f>
        <v/>
      </c>
      <c r="L109" s="415" t="e">
        <f t="shared" si="14"/>
        <v>#VALUE!</v>
      </c>
      <c r="M109" s="415" t="e">
        <f>IF(scheduled_no_payments=1,"",SUM($K$28:$K109))</f>
        <v>#VALUE!</v>
      </c>
      <c r="N109" s="420"/>
    </row>
    <row r="110" spans="2:14" ht="16.5" customHeight="1" x14ac:dyDescent="0.45">
      <c r="B110" s="413" t="str">
        <f>IF(AND(Values_Entered,scheduled_no_payments&lt;&gt;1),B109+1,"")</f>
        <v/>
      </c>
      <c r="C110" s="414" t="str">
        <f>IF(Pay_Num&lt;&gt;"",DATE(YEAR(C109)+VLOOKUP(Interval,LoanLookup[#Data],4,FALSE),MONTH(C109)+VLOOKUP(Interval,LoanLookup[#Data],2,FALSE),DAY(C109)+VLOOKUP(Interval,LoanLookup[#Data],3,FALSE)),"")</f>
        <v/>
      </c>
      <c r="D110" s="415" t="str">
        <f t="shared" si="15"/>
        <v/>
      </c>
      <c r="E110" s="416" t="str">
        <f t="shared" si="17"/>
        <v/>
      </c>
      <c r="F110" s="417" t="e">
        <f>IF(scheduled_no_payments=1,"",IF(Sched_Pay+Scheduled_Extra_Payments&lt;Beg_Bal2,Scheduled_Extra_Payments,IF(AND(Pay_Num&lt;&gt;"",Beg_Bal2-Sched_Pay&gt;0),Beg_Bal2-Sched_Pay,IF(Pay_Num&lt;&gt;"",0,""))))</f>
        <v>#VALUE!</v>
      </c>
      <c r="G110" s="417"/>
      <c r="H110" s="417" t="e">
        <f t="shared" si="18"/>
        <v>#VALUE!</v>
      </c>
      <c r="I110" s="415" t="e">
        <f>IF(scheduled_no_payments=1,"",IF(Sched_Pay+Extra_Pay2&lt;Beg_Bal2,Sched_Pay+Extra_Pay2,IF(Pay_Num&lt;&gt;"",Beg_Bal2,"")))</f>
        <v>#VALUE!</v>
      </c>
      <c r="J110" s="415" t="str">
        <f t="shared" si="16"/>
        <v/>
      </c>
      <c r="K110" s="415" t="str">
        <f>IF(Pay_Num&lt;&gt;"",Beg_Bal2*(InterestRate/VLOOKUP(Interval,LoanLookup[],5,FALSE)),"")</f>
        <v/>
      </c>
      <c r="L110" s="415" t="e">
        <f t="shared" si="14"/>
        <v>#VALUE!</v>
      </c>
      <c r="M110" s="415" t="e">
        <f>IF(scheduled_no_payments=1,"",SUM($K$28:$K110))</f>
        <v>#VALUE!</v>
      </c>
      <c r="N110" s="420"/>
    </row>
    <row r="111" spans="2:14" ht="16.5" customHeight="1" x14ac:dyDescent="0.45">
      <c r="B111" s="413" t="str">
        <f>IF(AND(Values_Entered,scheduled_no_payments&lt;&gt;1),B110+1,"")</f>
        <v/>
      </c>
      <c r="C111" s="414" t="str">
        <f>IF(Pay_Num&lt;&gt;"",DATE(YEAR(C110)+VLOOKUP(Interval,LoanLookup[#Data],4,FALSE),MONTH(C110)+VLOOKUP(Interval,LoanLookup[#Data],2,FALSE),DAY(C110)+VLOOKUP(Interval,LoanLookup[#Data],3,FALSE)),"")</f>
        <v/>
      </c>
      <c r="D111" s="415" t="str">
        <f t="shared" si="15"/>
        <v/>
      </c>
      <c r="E111" s="416" t="str">
        <f t="shared" si="17"/>
        <v/>
      </c>
      <c r="F111" s="417" t="e">
        <f>IF(scheduled_no_payments=1,"",IF(Sched_Pay+Scheduled_Extra_Payments&lt;Beg_Bal2,Scheduled_Extra_Payments,IF(AND(Pay_Num&lt;&gt;"",Beg_Bal2-Sched_Pay&gt;0),Beg_Bal2-Sched_Pay,IF(Pay_Num&lt;&gt;"",0,""))))</f>
        <v>#VALUE!</v>
      </c>
      <c r="G111" s="417"/>
      <c r="H111" s="417" t="e">
        <f t="shared" si="18"/>
        <v>#VALUE!</v>
      </c>
      <c r="I111" s="415" t="e">
        <f>IF(scheduled_no_payments=1,"",IF(Sched_Pay+Extra_Pay2&lt;Beg_Bal2,Sched_Pay+Extra_Pay2,IF(Pay_Num&lt;&gt;"",Beg_Bal2,"")))</f>
        <v>#VALUE!</v>
      </c>
      <c r="J111" s="415" t="str">
        <f t="shared" si="16"/>
        <v/>
      </c>
      <c r="K111" s="415" t="str">
        <f>IF(Pay_Num&lt;&gt;"",Beg_Bal2*(InterestRate/VLOOKUP(Interval,LoanLookup[],5,FALSE)),"")</f>
        <v/>
      </c>
      <c r="L111" s="415" t="e">
        <f t="shared" si="14"/>
        <v>#VALUE!</v>
      </c>
      <c r="M111" s="415" t="e">
        <f>IF(scheduled_no_payments=1,"",SUM($K$28:$K111))</f>
        <v>#VALUE!</v>
      </c>
      <c r="N111" s="420"/>
    </row>
    <row r="112" spans="2:14" ht="16.5" customHeight="1" x14ac:dyDescent="0.45">
      <c r="B112" s="413" t="str">
        <f>IF(AND(Values_Entered,scheduled_no_payments&lt;&gt;1),B111+1,"")</f>
        <v/>
      </c>
      <c r="C112" s="414" t="str">
        <f>IF(Pay_Num&lt;&gt;"",DATE(YEAR(C111)+VLOOKUP(Interval,LoanLookup[#Data],4,FALSE),MONTH(C111)+VLOOKUP(Interval,LoanLookup[#Data],2,FALSE),DAY(C111)+VLOOKUP(Interval,LoanLookup[#Data],3,FALSE)),"")</f>
        <v/>
      </c>
      <c r="D112" s="415" t="str">
        <f t="shared" si="15"/>
        <v/>
      </c>
      <c r="E112" s="416" t="str">
        <f t="shared" si="17"/>
        <v/>
      </c>
      <c r="F112" s="417" t="e">
        <f>IF(scheduled_no_payments=1,"",IF(Sched_Pay+Scheduled_Extra_Payments&lt;Beg_Bal2,Scheduled_Extra_Payments,IF(AND(Pay_Num&lt;&gt;"",Beg_Bal2-Sched_Pay&gt;0),Beg_Bal2-Sched_Pay,IF(Pay_Num&lt;&gt;"",0,""))))</f>
        <v>#VALUE!</v>
      </c>
      <c r="G112" s="417"/>
      <c r="H112" s="417" t="e">
        <f t="shared" si="18"/>
        <v>#VALUE!</v>
      </c>
      <c r="I112" s="415" t="e">
        <f>IF(scheduled_no_payments=1,"",IF(Sched_Pay+Extra_Pay2&lt;Beg_Bal2,Sched_Pay+Extra_Pay2,IF(Pay_Num&lt;&gt;"",Beg_Bal2,"")))</f>
        <v>#VALUE!</v>
      </c>
      <c r="J112" s="415" t="str">
        <f t="shared" si="16"/>
        <v/>
      </c>
      <c r="K112" s="415" t="str">
        <f>IF(Pay_Num&lt;&gt;"",Beg_Bal2*(InterestRate/VLOOKUP(Interval,LoanLookup[],5,FALSE)),"")</f>
        <v/>
      </c>
      <c r="L112" s="415" t="e">
        <f t="shared" si="14"/>
        <v>#VALUE!</v>
      </c>
      <c r="M112" s="415" t="e">
        <f>IF(scheduled_no_payments=1,"",SUM($K$28:$K112))</f>
        <v>#VALUE!</v>
      </c>
      <c r="N112" s="420"/>
    </row>
    <row r="113" spans="2:14" ht="16.5" customHeight="1" x14ac:dyDescent="0.45">
      <c r="B113" s="413" t="str">
        <f>IF(AND(Values_Entered,scheduled_no_payments&lt;&gt;1),B112+1,"")</f>
        <v/>
      </c>
      <c r="C113" s="414" t="str">
        <f>IF(Pay_Num&lt;&gt;"",DATE(YEAR(C112)+VLOOKUP(Interval,LoanLookup[#Data],4,FALSE),MONTH(C112)+VLOOKUP(Interval,LoanLookup[#Data],2,FALSE),DAY(C112)+VLOOKUP(Interval,LoanLookup[#Data],3,FALSE)),"")</f>
        <v/>
      </c>
      <c r="D113" s="415" t="str">
        <f t="shared" si="15"/>
        <v/>
      </c>
      <c r="E113" s="416" t="str">
        <f t="shared" si="17"/>
        <v/>
      </c>
      <c r="F113" s="417" t="e">
        <f>IF(scheduled_no_payments=1,"",IF(Sched_Pay+Scheduled_Extra_Payments&lt;Beg_Bal2,Scheduled_Extra_Payments,IF(AND(Pay_Num&lt;&gt;"",Beg_Bal2-Sched_Pay&gt;0),Beg_Bal2-Sched_Pay,IF(Pay_Num&lt;&gt;"",0,""))))</f>
        <v>#VALUE!</v>
      </c>
      <c r="G113" s="417"/>
      <c r="H113" s="417" t="e">
        <f t="shared" si="18"/>
        <v>#VALUE!</v>
      </c>
      <c r="I113" s="415" t="e">
        <f>IF(scheduled_no_payments=1,"",IF(Sched_Pay+Extra_Pay2&lt;Beg_Bal2,Sched_Pay+Extra_Pay2,IF(Pay_Num&lt;&gt;"",Beg_Bal2,"")))</f>
        <v>#VALUE!</v>
      </c>
      <c r="J113" s="415" t="str">
        <f t="shared" si="16"/>
        <v/>
      </c>
      <c r="K113" s="415" t="str">
        <f>IF(Pay_Num&lt;&gt;"",Beg_Bal2*(InterestRate/VLOOKUP(Interval,LoanLookup[],5,FALSE)),"")</f>
        <v/>
      </c>
      <c r="L113" s="415" t="e">
        <f t="shared" si="14"/>
        <v>#VALUE!</v>
      </c>
      <c r="M113" s="415" t="e">
        <f>IF(scheduled_no_payments=1,"",SUM($K$28:$K113))</f>
        <v>#VALUE!</v>
      </c>
      <c r="N113" s="420"/>
    </row>
    <row r="114" spans="2:14" ht="16.5" customHeight="1" x14ac:dyDescent="0.45">
      <c r="B114" s="413" t="str">
        <f>IF(AND(Values_Entered,scheduled_no_payments&lt;&gt;1),B113+1,"")</f>
        <v/>
      </c>
      <c r="C114" s="414" t="str">
        <f>IF(Pay_Num&lt;&gt;"",DATE(YEAR(C113)+VLOOKUP(Interval,LoanLookup[#Data],4,FALSE),MONTH(C113)+VLOOKUP(Interval,LoanLookup[#Data],2,FALSE),DAY(C113)+VLOOKUP(Interval,LoanLookup[#Data],3,FALSE)),"")</f>
        <v/>
      </c>
      <c r="D114" s="415" t="str">
        <f t="shared" si="15"/>
        <v/>
      </c>
      <c r="E114" s="416" t="str">
        <f t="shared" si="17"/>
        <v/>
      </c>
      <c r="F114" s="417" t="e">
        <f>IF(scheduled_no_payments=1,"",IF(Sched_Pay+Scheduled_Extra_Payments&lt;Beg_Bal2,Scheduled_Extra_Payments,IF(AND(Pay_Num&lt;&gt;"",Beg_Bal2-Sched_Pay&gt;0),Beg_Bal2-Sched_Pay,IF(Pay_Num&lt;&gt;"",0,""))))</f>
        <v>#VALUE!</v>
      </c>
      <c r="G114" s="417"/>
      <c r="H114" s="417" t="e">
        <f t="shared" si="18"/>
        <v>#VALUE!</v>
      </c>
      <c r="I114" s="415" t="e">
        <f>IF(scheduled_no_payments=1,"",IF(Sched_Pay+Extra_Pay2&lt;Beg_Bal2,Sched_Pay+Extra_Pay2,IF(Pay_Num&lt;&gt;"",Beg_Bal2,"")))</f>
        <v>#VALUE!</v>
      </c>
      <c r="J114" s="415" t="str">
        <f t="shared" si="16"/>
        <v/>
      </c>
      <c r="K114" s="415" t="str">
        <f>IF(Pay_Num&lt;&gt;"",Beg_Bal2*(InterestRate/VLOOKUP(Interval,LoanLookup[],5,FALSE)),"")</f>
        <v/>
      </c>
      <c r="L114" s="415" t="e">
        <f t="shared" si="14"/>
        <v>#VALUE!</v>
      </c>
      <c r="M114" s="415" t="e">
        <f>IF(scheduled_no_payments=1,"",SUM($K$28:$K114))</f>
        <v>#VALUE!</v>
      </c>
      <c r="N114" s="420"/>
    </row>
    <row r="115" spans="2:14" ht="16.5" customHeight="1" x14ac:dyDescent="0.45">
      <c r="B115" s="413" t="str">
        <f>IF(AND(Values_Entered,scheduled_no_payments&lt;&gt;1),B114+1,"")</f>
        <v/>
      </c>
      <c r="C115" s="414" t="str">
        <f>IF(Pay_Num&lt;&gt;"",DATE(YEAR(C114)+VLOOKUP(Interval,LoanLookup[#Data],4,FALSE),MONTH(C114)+VLOOKUP(Interval,LoanLookup[#Data],2,FALSE),DAY(C114)+VLOOKUP(Interval,LoanLookup[#Data],3,FALSE)),"")</f>
        <v/>
      </c>
      <c r="D115" s="415" t="str">
        <f t="shared" si="15"/>
        <v/>
      </c>
      <c r="E115" s="416" t="str">
        <f t="shared" si="17"/>
        <v/>
      </c>
      <c r="F115" s="417" t="e">
        <f>IF(scheduled_no_payments=1,"",IF(Sched_Pay+Scheduled_Extra_Payments&lt;Beg_Bal2,Scheduled_Extra_Payments,IF(AND(Pay_Num&lt;&gt;"",Beg_Bal2-Sched_Pay&gt;0),Beg_Bal2-Sched_Pay,IF(Pay_Num&lt;&gt;"",0,""))))</f>
        <v>#VALUE!</v>
      </c>
      <c r="G115" s="417"/>
      <c r="H115" s="417" t="e">
        <f t="shared" si="18"/>
        <v>#VALUE!</v>
      </c>
      <c r="I115" s="415" t="e">
        <f>IF(scheduled_no_payments=1,"",IF(Sched_Pay+Extra_Pay2&lt;Beg_Bal2,Sched_Pay+Extra_Pay2,IF(Pay_Num&lt;&gt;"",Beg_Bal2,"")))</f>
        <v>#VALUE!</v>
      </c>
      <c r="J115" s="415" t="str">
        <f t="shared" si="16"/>
        <v/>
      </c>
      <c r="K115" s="415" t="str">
        <f>IF(Pay_Num&lt;&gt;"",Beg_Bal2*(InterestRate/VLOOKUP(Interval,LoanLookup[],5,FALSE)),"")</f>
        <v/>
      </c>
      <c r="L115" s="415" t="e">
        <f t="shared" si="14"/>
        <v>#VALUE!</v>
      </c>
      <c r="M115" s="415" t="e">
        <f>IF(scheduled_no_payments=1,"",SUM($K$28:$K115))</f>
        <v>#VALUE!</v>
      </c>
      <c r="N115" s="420"/>
    </row>
    <row r="116" spans="2:14" ht="16.5" customHeight="1" x14ac:dyDescent="0.45">
      <c r="B116" s="413" t="str">
        <f>IF(AND(Values_Entered,scheduled_no_payments&lt;&gt;1),B115+1,"")</f>
        <v/>
      </c>
      <c r="C116" s="414" t="str">
        <f>IF(Pay_Num&lt;&gt;"",DATE(YEAR(C115)+VLOOKUP(Interval,LoanLookup[#Data],4,FALSE),MONTH(C115)+VLOOKUP(Interval,LoanLookup[#Data],2,FALSE),DAY(C115)+VLOOKUP(Interval,LoanLookup[#Data],3,FALSE)),"")</f>
        <v/>
      </c>
      <c r="D116" s="415" t="str">
        <f t="shared" si="15"/>
        <v/>
      </c>
      <c r="E116" s="416" t="str">
        <f t="shared" si="17"/>
        <v/>
      </c>
      <c r="F116" s="417" t="e">
        <f>IF(scheduled_no_payments=1,"",IF(Sched_Pay+Scheduled_Extra_Payments&lt;Beg_Bal2,Scheduled_Extra_Payments,IF(AND(Pay_Num&lt;&gt;"",Beg_Bal2-Sched_Pay&gt;0),Beg_Bal2-Sched_Pay,IF(Pay_Num&lt;&gt;"",0,""))))</f>
        <v>#VALUE!</v>
      </c>
      <c r="G116" s="417"/>
      <c r="H116" s="417" t="e">
        <f t="shared" si="18"/>
        <v>#VALUE!</v>
      </c>
      <c r="I116" s="415" t="e">
        <f>IF(scheduled_no_payments=1,"",IF(Sched_Pay+Extra_Pay2&lt;Beg_Bal2,Sched_Pay+Extra_Pay2,IF(Pay_Num&lt;&gt;"",Beg_Bal2,"")))</f>
        <v>#VALUE!</v>
      </c>
      <c r="J116" s="415" t="str">
        <f t="shared" si="16"/>
        <v/>
      </c>
      <c r="K116" s="415" t="str">
        <f>IF(Pay_Num&lt;&gt;"",Beg_Bal2*(InterestRate/VLOOKUP(Interval,LoanLookup[],5,FALSE)),"")</f>
        <v/>
      </c>
      <c r="L116" s="415" t="e">
        <f t="shared" si="14"/>
        <v>#VALUE!</v>
      </c>
      <c r="M116" s="415" t="e">
        <f>IF(scheduled_no_payments=1,"",SUM($K$28:$K116))</f>
        <v>#VALUE!</v>
      </c>
      <c r="N116" s="420"/>
    </row>
    <row r="117" spans="2:14" ht="16.5" customHeight="1" x14ac:dyDescent="0.45">
      <c r="B117" s="413" t="str">
        <f>IF(AND(Values_Entered,scheduled_no_payments&lt;&gt;1),B116+1,"")</f>
        <v/>
      </c>
      <c r="C117" s="414" t="str">
        <f>IF(Pay_Num&lt;&gt;"",DATE(YEAR(C116)+VLOOKUP(Interval,LoanLookup[#Data],4,FALSE),MONTH(C116)+VLOOKUP(Interval,LoanLookup[#Data],2,FALSE),DAY(C116)+VLOOKUP(Interval,LoanLookup[#Data],3,FALSE)),"")</f>
        <v/>
      </c>
      <c r="D117" s="415" t="str">
        <f t="shared" si="15"/>
        <v/>
      </c>
      <c r="E117" s="416" t="str">
        <f t="shared" si="17"/>
        <v/>
      </c>
      <c r="F117" s="417" t="e">
        <f>IF(scheduled_no_payments=1,"",IF(Sched_Pay+Scheduled_Extra_Payments&lt;Beg_Bal2,Scheduled_Extra_Payments,IF(AND(Pay_Num&lt;&gt;"",Beg_Bal2-Sched_Pay&gt;0),Beg_Bal2-Sched_Pay,IF(Pay_Num&lt;&gt;"",0,""))))</f>
        <v>#VALUE!</v>
      </c>
      <c r="G117" s="417"/>
      <c r="H117" s="417" t="e">
        <f t="shared" si="18"/>
        <v>#VALUE!</v>
      </c>
      <c r="I117" s="415" t="e">
        <f>IF(scheduled_no_payments=1,"",IF(Sched_Pay+Extra_Pay2&lt;Beg_Bal2,Sched_Pay+Extra_Pay2,IF(Pay_Num&lt;&gt;"",Beg_Bal2,"")))</f>
        <v>#VALUE!</v>
      </c>
      <c r="J117" s="415" t="str">
        <f t="shared" si="16"/>
        <v/>
      </c>
      <c r="K117" s="415" t="str">
        <f>IF(Pay_Num&lt;&gt;"",Beg_Bal2*(InterestRate/VLOOKUP(Interval,LoanLookup[],5,FALSE)),"")</f>
        <v/>
      </c>
      <c r="L117" s="415" t="e">
        <f t="shared" si="14"/>
        <v>#VALUE!</v>
      </c>
      <c r="M117" s="415" t="e">
        <f>IF(scheduled_no_payments=1,"",SUM($K$28:$K117))</f>
        <v>#VALUE!</v>
      </c>
      <c r="N117" s="420"/>
    </row>
    <row r="118" spans="2:14" ht="16.5" customHeight="1" x14ac:dyDescent="0.45">
      <c r="B118" s="413" t="str">
        <f>IF(AND(Values_Entered,scheduled_no_payments&lt;&gt;1),B117+1,"")</f>
        <v/>
      </c>
      <c r="C118" s="414" t="str">
        <f>IF(Pay_Num&lt;&gt;"",DATE(YEAR(C117)+VLOOKUP(Interval,LoanLookup[#Data],4,FALSE),MONTH(C117)+VLOOKUP(Interval,LoanLookup[#Data],2,FALSE),DAY(C117)+VLOOKUP(Interval,LoanLookup[#Data],3,FALSE)),"")</f>
        <v/>
      </c>
      <c r="D118" s="415" t="str">
        <f t="shared" si="15"/>
        <v/>
      </c>
      <c r="E118" s="416" t="str">
        <f t="shared" si="17"/>
        <v/>
      </c>
      <c r="F118" s="417" t="e">
        <f>IF(scheduled_no_payments=1,"",IF(Sched_Pay+Scheduled_Extra_Payments&lt;Beg_Bal2,Scheduled_Extra_Payments,IF(AND(Pay_Num&lt;&gt;"",Beg_Bal2-Sched_Pay&gt;0),Beg_Bal2-Sched_Pay,IF(Pay_Num&lt;&gt;"",0,""))))</f>
        <v>#VALUE!</v>
      </c>
      <c r="G118" s="417"/>
      <c r="H118" s="417" t="e">
        <f t="shared" si="18"/>
        <v>#VALUE!</v>
      </c>
      <c r="I118" s="415" t="e">
        <f>IF(scheduled_no_payments=1,"",IF(Sched_Pay+Extra_Pay2&lt;Beg_Bal2,Sched_Pay+Extra_Pay2,IF(Pay_Num&lt;&gt;"",Beg_Bal2,"")))</f>
        <v>#VALUE!</v>
      </c>
      <c r="J118" s="415" t="str">
        <f t="shared" si="16"/>
        <v/>
      </c>
      <c r="K118" s="415" t="str">
        <f>IF(Pay_Num&lt;&gt;"",Beg_Bal2*(InterestRate/VLOOKUP(Interval,LoanLookup[],5,FALSE)),"")</f>
        <v/>
      </c>
      <c r="L118" s="415" t="e">
        <f t="shared" si="14"/>
        <v>#VALUE!</v>
      </c>
      <c r="M118" s="415" t="e">
        <f>IF(scheduled_no_payments=1,"",SUM($K$28:$K118))</f>
        <v>#VALUE!</v>
      </c>
      <c r="N118" s="420"/>
    </row>
    <row r="119" spans="2:14" ht="16.5" customHeight="1" x14ac:dyDescent="0.45">
      <c r="B119" s="413" t="str">
        <f>IF(AND(Values_Entered,scheduled_no_payments&lt;&gt;1),B118+1,"")</f>
        <v/>
      </c>
      <c r="C119" s="414" t="str">
        <f>IF(Pay_Num&lt;&gt;"",DATE(YEAR(C118)+VLOOKUP(Interval,LoanLookup[#Data],4,FALSE),MONTH(C118)+VLOOKUP(Interval,LoanLookup[#Data],2,FALSE),DAY(C118)+VLOOKUP(Interval,LoanLookup[#Data],3,FALSE)),"")</f>
        <v/>
      </c>
      <c r="D119" s="415" t="str">
        <f t="shared" si="15"/>
        <v/>
      </c>
      <c r="E119" s="416" t="str">
        <f t="shared" si="17"/>
        <v/>
      </c>
      <c r="F119" s="417" t="e">
        <f>IF(scheduled_no_payments=1,"",IF(Sched_Pay+Scheduled_Extra_Payments&lt;Beg_Bal2,Scheduled_Extra_Payments,IF(AND(Pay_Num&lt;&gt;"",Beg_Bal2-Sched_Pay&gt;0),Beg_Bal2-Sched_Pay,IF(Pay_Num&lt;&gt;"",0,""))))</f>
        <v>#VALUE!</v>
      </c>
      <c r="G119" s="417"/>
      <c r="H119" s="417" t="e">
        <f t="shared" si="18"/>
        <v>#VALUE!</v>
      </c>
      <c r="I119" s="415" t="e">
        <f>IF(scheduled_no_payments=1,"",IF(Sched_Pay+Extra_Pay2&lt;Beg_Bal2,Sched_Pay+Extra_Pay2,IF(Pay_Num&lt;&gt;"",Beg_Bal2,"")))</f>
        <v>#VALUE!</v>
      </c>
      <c r="J119" s="415" t="str">
        <f t="shared" si="16"/>
        <v/>
      </c>
      <c r="K119" s="415" t="str">
        <f>IF(Pay_Num&lt;&gt;"",Beg_Bal2*(InterestRate/VLOOKUP(Interval,LoanLookup[],5,FALSE)),"")</f>
        <v/>
      </c>
      <c r="L119" s="415" t="e">
        <f t="shared" si="14"/>
        <v>#VALUE!</v>
      </c>
      <c r="M119" s="415" t="e">
        <f>IF(scheduled_no_payments=1,"",SUM($K$28:$K119))</f>
        <v>#VALUE!</v>
      </c>
      <c r="N119" s="420"/>
    </row>
    <row r="120" spans="2:14" ht="16.5" customHeight="1" x14ac:dyDescent="0.45">
      <c r="B120" s="413" t="str">
        <f>IF(AND(Values_Entered,scheduled_no_payments&lt;&gt;1),B119+1,"")</f>
        <v/>
      </c>
      <c r="C120" s="414" t="str">
        <f>IF(Pay_Num&lt;&gt;"",DATE(YEAR(C119)+VLOOKUP(Interval,LoanLookup[#Data],4,FALSE),MONTH(C119)+VLOOKUP(Interval,LoanLookup[#Data],2,FALSE),DAY(C119)+VLOOKUP(Interval,LoanLookup[#Data],3,FALSE)),"")</f>
        <v/>
      </c>
      <c r="D120" s="415" t="str">
        <f t="shared" si="15"/>
        <v/>
      </c>
      <c r="E120" s="416" t="str">
        <f t="shared" si="17"/>
        <v/>
      </c>
      <c r="F120" s="417" t="e">
        <f>IF(scheduled_no_payments=1,"",IF(Sched_Pay+Scheduled_Extra_Payments&lt;Beg_Bal2,Scheduled_Extra_Payments,IF(AND(Pay_Num&lt;&gt;"",Beg_Bal2-Sched_Pay&gt;0),Beg_Bal2-Sched_Pay,IF(Pay_Num&lt;&gt;"",0,""))))</f>
        <v>#VALUE!</v>
      </c>
      <c r="G120" s="417"/>
      <c r="H120" s="417" t="e">
        <f t="shared" si="18"/>
        <v>#VALUE!</v>
      </c>
      <c r="I120" s="415" t="e">
        <f>IF(scheduled_no_payments=1,"",IF(Sched_Pay+Extra_Pay2&lt;Beg_Bal2,Sched_Pay+Extra_Pay2,IF(Pay_Num&lt;&gt;"",Beg_Bal2,"")))</f>
        <v>#VALUE!</v>
      </c>
      <c r="J120" s="415" t="str">
        <f t="shared" si="16"/>
        <v/>
      </c>
      <c r="K120" s="415" t="str">
        <f>IF(Pay_Num&lt;&gt;"",Beg_Bal2*(InterestRate/VLOOKUP(Interval,LoanLookup[],5,FALSE)),"")</f>
        <v/>
      </c>
      <c r="L120" s="415" t="e">
        <f t="shared" si="14"/>
        <v>#VALUE!</v>
      </c>
      <c r="M120" s="415" t="e">
        <f>IF(scheduled_no_payments=1,"",SUM($K$28:$K120))</f>
        <v>#VALUE!</v>
      </c>
      <c r="N120" s="420"/>
    </row>
    <row r="121" spans="2:14" ht="16.5" customHeight="1" x14ac:dyDescent="0.45">
      <c r="B121" s="413" t="str">
        <f>IF(AND(Values_Entered,scheduled_no_payments&lt;&gt;1),B120+1,"")</f>
        <v/>
      </c>
      <c r="C121" s="414" t="str">
        <f>IF(Pay_Num&lt;&gt;"",DATE(YEAR(C120)+VLOOKUP(Interval,LoanLookup[#Data],4,FALSE),MONTH(C120)+VLOOKUP(Interval,LoanLookup[#Data],2,FALSE),DAY(C120)+VLOOKUP(Interval,LoanLookup[#Data],3,FALSE)),"")</f>
        <v/>
      </c>
      <c r="D121" s="415" t="str">
        <f t="shared" si="15"/>
        <v/>
      </c>
      <c r="E121" s="416" t="str">
        <f t="shared" si="17"/>
        <v/>
      </c>
      <c r="F121" s="417" t="e">
        <f>IF(scheduled_no_payments=1,"",IF(Sched_Pay+Scheduled_Extra_Payments&lt;Beg_Bal2,Scheduled_Extra_Payments,IF(AND(Pay_Num&lt;&gt;"",Beg_Bal2-Sched_Pay&gt;0),Beg_Bal2-Sched_Pay,IF(Pay_Num&lt;&gt;"",0,""))))</f>
        <v>#VALUE!</v>
      </c>
      <c r="G121" s="417"/>
      <c r="H121" s="417" t="e">
        <f t="shared" si="18"/>
        <v>#VALUE!</v>
      </c>
      <c r="I121" s="415" t="e">
        <f>IF(scheduled_no_payments=1,"",IF(Sched_Pay+Extra_Pay2&lt;Beg_Bal2,Sched_Pay+Extra_Pay2,IF(Pay_Num&lt;&gt;"",Beg_Bal2,"")))</f>
        <v>#VALUE!</v>
      </c>
      <c r="J121" s="415" t="str">
        <f t="shared" si="16"/>
        <v/>
      </c>
      <c r="K121" s="415" t="str">
        <f>IF(Pay_Num&lt;&gt;"",Beg_Bal2*(InterestRate/VLOOKUP(Interval,LoanLookup[],5,FALSE)),"")</f>
        <v/>
      </c>
      <c r="L121" s="415" t="e">
        <f t="shared" si="14"/>
        <v>#VALUE!</v>
      </c>
      <c r="M121" s="415" t="e">
        <f>IF(scheduled_no_payments=1,"",SUM($K$28:$K121))</f>
        <v>#VALUE!</v>
      </c>
      <c r="N121" s="420"/>
    </row>
    <row r="122" spans="2:14" ht="16.5" customHeight="1" x14ac:dyDescent="0.45">
      <c r="B122" s="413" t="str">
        <f>IF(AND(Values_Entered,scheduled_no_payments&lt;&gt;1),B121+1,"")</f>
        <v/>
      </c>
      <c r="C122" s="414" t="str">
        <f>IF(Pay_Num&lt;&gt;"",DATE(YEAR(C121)+VLOOKUP(Interval,LoanLookup[#Data],4,FALSE),MONTH(C121)+VLOOKUP(Interval,LoanLookup[#Data],2,FALSE),DAY(C121)+VLOOKUP(Interval,LoanLookup[#Data],3,FALSE)),"")</f>
        <v/>
      </c>
      <c r="D122" s="415" t="str">
        <f t="shared" si="15"/>
        <v/>
      </c>
      <c r="E122" s="416" t="str">
        <f t="shared" si="17"/>
        <v/>
      </c>
      <c r="F122" s="417" t="e">
        <f>IF(scheduled_no_payments=1,"",IF(Sched_Pay+Scheduled_Extra_Payments&lt;Beg_Bal2,Scheduled_Extra_Payments,IF(AND(Pay_Num&lt;&gt;"",Beg_Bal2-Sched_Pay&gt;0),Beg_Bal2-Sched_Pay,IF(Pay_Num&lt;&gt;"",0,""))))</f>
        <v>#VALUE!</v>
      </c>
      <c r="G122" s="417"/>
      <c r="H122" s="417" t="e">
        <f t="shared" si="18"/>
        <v>#VALUE!</v>
      </c>
      <c r="I122" s="415" t="e">
        <f>IF(scheduled_no_payments=1,"",IF(Sched_Pay+Extra_Pay2&lt;Beg_Bal2,Sched_Pay+Extra_Pay2,IF(Pay_Num&lt;&gt;"",Beg_Bal2,"")))</f>
        <v>#VALUE!</v>
      </c>
      <c r="J122" s="415" t="str">
        <f t="shared" si="16"/>
        <v/>
      </c>
      <c r="K122" s="415" t="str">
        <f>IF(Pay_Num&lt;&gt;"",Beg_Bal2*(InterestRate/VLOOKUP(Interval,LoanLookup[],5,FALSE)),"")</f>
        <v/>
      </c>
      <c r="L122" s="415" t="e">
        <f t="shared" si="14"/>
        <v>#VALUE!</v>
      </c>
      <c r="M122" s="415" t="e">
        <f>IF(scheduled_no_payments=1,"",SUM($K$28:$K122))</f>
        <v>#VALUE!</v>
      </c>
      <c r="N122" s="420"/>
    </row>
    <row r="123" spans="2:14" ht="16.5" customHeight="1" x14ac:dyDescent="0.45">
      <c r="B123" s="413" t="str">
        <f>IF(AND(Values_Entered,scheduled_no_payments&lt;&gt;1),B122+1,"")</f>
        <v/>
      </c>
      <c r="C123" s="414" t="str">
        <f>IF(Pay_Num&lt;&gt;"",DATE(YEAR(C122)+VLOOKUP(Interval,LoanLookup[#Data],4,FALSE),MONTH(C122)+VLOOKUP(Interval,LoanLookup[#Data],2,FALSE),DAY(C122)+VLOOKUP(Interval,LoanLookup[#Data],3,FALSE)),"")</f>
        <v/>
      </c>
      <c r="D123" s="415" t="str">
        <f t="shared" si="15"/>
        <v/>
      </c>
      <c r="E123" s="416" t="str">
        <f t="shared" si="17"/>
        <v/>
      </c>
      <c r="F123" s="417" t="e">
        <f>IF(scheduled_no_payments=1,"",IF(Sched_Pay+Scheduled_Extra_Payments&lt;Beg_Bal2,Scheduled_Extra_Payments,IF(AND(Pay_Num&lt;&gt;"",Beg_Bal2-Sched_Pay&gt;0),Beg_Bal2-Sched_Pay,IF(Pay_Num&lt;&gt;"",0,""))))</f>
        <v>#VALUE!</v>
      </c>
      <c r="G123" s="417"/>
      <c r="H123" s="417" t="e">
        <f t="shared" si="18"/>
        <v>#VALUE!</v>
      </c>
      <c r="I123" s="415" t="e">
        <f>IF(scheduled_no_payments=1,"",IF(Sched_Pay+Extra_Pay2&lt;Beg_Bal2,Sched_Pay+Extra_Pay2,IF(Pay_Num&lt;&gt;"",Beg_Bal2,"")))</f>
        <v>#VALUE!</v>
      </c>
      <c r="J123" s="415" t="str">
        <f t="shared" si="16"/>
        <v/>
      </c>
      <c r="K123" s="415" t="str">
        <f>IF(Pay_Num&lt;&gt;"",Beg_Bal2*(InterestRate/VLOOKUP(Interval,LoanLookup[],5,FALSE)),"")</f>
        <v/>
      </c>
      <c r="L123" s="415" t="e">
        <f t="shared" si="14"/>
        <v>#VALUE!</v>
      </c>
      <c r="M123" s="415" t="e">
        <f>IF(scheduled_no_payments=1,"",SUM($K$28:$K123))</f>
        <v>#VALUE!</v>
      </c>
      <c r="N123" s="420"/>
    </row>
    <row r="124" spans="2:14" ht="16.5" customHeight="1" x14ac:dyDescent="0.45">
      <c r="B124" s="413" t="str">
        <f>IF(AND(Values_Entered,scheduled_no_payments&lt;&gt;1),B123+1,"")</f>
        <v/>
      </c>
      <c r="C124" s="414" t="str">
        <f>IF(Pay_Num&lt;&gt;"",DATE(YEAR(C123)+VLOOKUP(Interval,LoanLookup[#Data],4,FALSE),MONTH(C123)+VLOOKUP(Interval,LoanLookup[#Data],2,FALSE),DAY(C123)+VLOOKUP(Interval,LoanLookup[#Data],3,FALSE)),"")</f>
        <v/>
      </c>
      <c r="D124" s="415" t="str">
        <f t="shared" si="15"/>
        <v/>
      </c>
      <c r="E124" s="416" t="str">
        <f t="shared" si="17"/>
        <v/>
      </c>
      <c r="F124" s="417" t="e">
        <f>IF(scheduled_no_payments=1,"",IF(Sched_Pay+Scheduled_Extra_Payments&lt;Beg_Bal2,Scheduled_Extra_Payments,IF(AND(Pay_Num&lt;&gt;"",Beg_Bal2-Sched_Pay&gt;0),Beg_Bal2-Sched_Pay,IF(Pay_Num&lt;&gt;"",0,""))))</f>
        <v>#VALUE!</v>
      </c>
      <c r="G124" s="417"/>
      <c r="H124" s="417" t="e">
        <f t="shared" si="18"/>
        <v>#VALUE!</v>
      </c>
      <c r="I124" s="415" t="e">
        <f>IF(scheduled_no_payments=1,"",IF(Sched_Pay+Extra_Pay2&lt;Beg_Bal2,Sched_Pay+Extra_Pay2,IF(Pay_Num&lt;&gt;"",Beg_Bal2,"")))</f>
        <v>#VALUE!</v>
      </c>
      <c r="J124" s="415" t="str">
        <f t="shared" si="16"/>
        <v/>
      </c>
      <c r="K124" s="415" t="str">
        <f>IF(Pay_Num&lt;&gt;"",Beg_Bal2*(InterestRate/VLOOKUP(Interval,LoanLookup[],5,FALSE)),"")</f>
        <v/>
      </c>
      <c r="L124" s="415" t="e">
        <f t="shared" si="14"/>
        <v>#VALUE!</v>
      </c>
      <c r="M124" s="415" t="e">
        <f>IF(scheduled_no_payments=1,"",SUM($K$28:$K124))</f>
        <v>#VALUE!</v>
      </c>
      <c r="N124" s="420"/>
    </row>
    <row r="125" spans="2:14" ht="16.5" customHeight="1" x14ac:dyDescent="0.45">
      <c r="B125" s="413" t="str">
        <f>IF(AND(Values_Entered,scheduled_no_payments&lt;&gt;1),B124+1,"")</f>
        <v/>
      </c>
      <c r="C125" s="414" t="str">
        <f>IF(Pay_Num&lt;&gt;"",DATE(YEAR(C124)+VLOOKUP(Interval,LoanLookup[#Data],4,FALSE),MONTH(C124)+VLOOKUP(Interval,LoanLookup[#Data],2,FALSE),DAY(C124)+VLOOKUP(Interval,LoanLookup[#Data],3,FALSE)),"")</f>
        <v/>
      </c>
      <c r="D125" s="415" t="str">
        <f t="shared" ref="D125:D148" si="19">IF(Pay_Num&lt;&gt;"",L124,"")</f>
        <v/>
      </c>
      <c r="E125" s="416" t="str">
        <f t="shared" si="17"/>
        <v/>
      </c>
      <c r="F125" s="417" t="e">
        <f>IF(scheduled_no_payments=1,"",IF(Sched_Pay+Scheduled_Extra_Payments&lt;Beg_Bal2,Scheduled_Extra_Payments,IF(AND(Pay_Num&lt;&gt;"",Beg_Bal2-Sched_Pay&gt;0),Beg_Bal2-Sched_Pay,IF(Pay_Num&lt;&gt;"",0,""))))</f>
        <v>#VALUE!</v>
      </c>
      <c r="G125" s="417"/>
      <c r="H125" s="417" t="e">
        <f t="shared" si="18"/>
        <v>#VALUE!</v>
      </c>
      <c r="I125" s="415" t="e">
        <f>IF(scheduled_no_payments=1,"",IF(Sched_Pay+Extra_Pay2&lt;Beg_Bal2,Sched_Pay+Extra_Pay2,IF(Pay_Num&lt;&gt;"",Beg_Bal2,"")))</f>
        <v>#VALUE!</v>
      </c>
      <c r="J125" s="415" t="str">
        <f t="shared" si="16"/>
        <v/>
      </c>
      <c r="K125" s="415" t="str">
        <f>IF(Pay_Num&lt;&gt;"",Beg_Bal2*(InterestRate/VLOOKUP(Interval,LoanLookup[],5,FALSE)),"")</f>
        <v/>
      </c>
      <c r="L125" s="415" t="e">
        <f t="shared" si="14"/>
        <v>#VALUE!</v>
      </c>
      <c r="M125" s="415" t="e">
        <f>IF(scheduled_no_payments=1,"",SUM($K$28:$K125))</f>
        <v>#VALUE!</v>
      </c>
      <c r="N125" s="420"/>
    </row>
    <row r="126" spans="2:14" ht="16.5" customHeight="1" x14ac:dyDescent="0.45">
      <c r="B126" s="413" t="str">
        <f>IF(AND(Values_Entered,scheduled_no_payments&lt;&gt;1),B125+1,"")</f>
        <v/>
      </c>
      <c r="C126" s="414" t="str">
        <f>IF(Pay_Num&lt;&gt;"",DATE(YEAR(C125)+VLOOKUP(Interval,LoanLookup[#Data],4,FALSE),MONTH(C125)+VLOOKUP(Interval,LoanLookup[#Data],2,FALSE),DAY(C125)+VLOOKUP(Interval,LoanLookup[#Data],3,FALSE)),"")</f>
        <v/>
      </c>
      <c r="D126" s="415" t="str">
        <f t="shared" si="19"/>
        <v/>
      </c>
      <c r="E126" s="416" t="str">
        <f t="shared" si="17"/>
        <v/>
      </c>
      <c r="F126" s="417" t="e">
        <f>IF(scheduled_no_payments=1,"",IF(Sched_Pay+Scheduled_Extra_Payments&lt;Beg_Bal2,Scheduled_Extra_Payments,IF(AND(Pay_Num&lt;&gt;"",Beg_Bal2-Sched_Pay&gt;0),Beg_Bal2-Sched_Pay,IF(Pay_Num&lt;&gt;"",0,""))))</f>
        <v>#VALUE!</v>
      </c>
      <c r="G126" s="417"/>
      <c r="H126" s="417" t="e">
        <f t="shared" si="18"/>
        <v>#VALUE!</v>
      </c>
      <c r="I126" s="415" t="e">
        <f>IF(scheduled_no_payments=1,"",IF(Sched_Pay+Extra_Pay2&lt;Beg_Bal2,Sched_Pay+Extra_Pay2,IF(Pay_Num&lt;&gt;"",Beg_Bal2,"")))</f>
        <v>#VALUE!</v>
      </c>
      <c r="J126" s="415" t="str">
        <f t="shared" si="16"/>
        <v/>
      </c>
      <c r="K126" s="415" t="str">
        <f>IF(Pay_Num&lt;&gt;"",Beg_Bal2*(InterestRate/VLOOKUP(Interval,LoanLookup[],5,FALSE)),"")</f>
        <v/>
      </c>
      <c r="L126" s="415" t="e">
        <f t="shared" si="14"/>
        <v>#VALUE!</v>
      </c>
      <c r="M126" s="415" t="e">
        <f>IF(scheduled_no_payments=1,"",SUM($K$28:$K126))</f>
        <v>#VALUE!</v>
      </c>
      <c r="N126" s="420"/>
    </row>
    <row r="127" spans="2:14" ht="16.5" customHeight="1" x14ac:dyDescent="0.45">
      <c r="B127" s="413" t="str">
        <f>IF(AND(Values_Entered,scheduled_no_payments&lt;&gt;1),B126+1,"")</f>
        <v/>
      </c>
      <c r="C127" s="414" t="str">
        <f>IF(Pay_Num&lt;&gt;"",DATE(YEAR(C126)+VLOOKUP(Interval,LoanLookup[#Data],4,FALSE),MONTH(C126)+VLOOKUP(Interval,LoanLookup[#Data],2,FALSE),DAY(C126)+VLOOKUP(Interval,LoanLookup[#Data],3,FALSE)),"")</f>
        <v/>
      </c>
      <c r="D127" s="415" t="str">
        <f t="shared" si="19"/>
        <v/>
      </c>
      <c r="E127" s="416" t="str">
        <f t="shared" si="17"/>
        <v/>
      </c>
      <c r="F127" s="417" t="e">
        <f>IF(scheduled_no_payments=1,"",IF(Sched_Pay+Scheduled_Extra_Payments&lt;Beg_Bal2,Scheduled_Extra_Payments,IF(AND(Pay_Num&lt;&gt;"",Beg_Bal2-Sched_Pay&gt;0),Beg_Bal2-Sched_Pay,IF(Pay_Num&lt;&gt;"",0,""))))</f>
        <v>#VALUE!</v>
      </c>
      <c r="G127" s="417"/>
      <c r="H127" s="417" t="e">
        <f t="shared" si="18"/>
        <v>#VALUE!</v>
      </c>
      <c r="I127" s="415" t="e">
        <f>IF(scheduled_no_payments=1,"",IF(Sched_Pay+Extra_Pay2&lt;Beg_Bal2,Sched_Pay+Extra_Pay2,IF(Pay_Num&lt;&gt;"",Beg_Bal2,"")))</f>
        <v>#VALUE!</v>
      </c>
      <c r="J127" s="415" t="str">
        <f t="shared" si="16"/>
        <v/>
      </c>
      <c r="K127" s="415" t="str">
        <f>IF(Pay_Num&lt;&gt;"",Beg_Bal2*(InterestRate/VLOOKUP(Interval,LoanLookup[],5,FALSE)),"")</f>
        <v/>
      </c>
      <c r="L127" s="415" t="e">
        <f t="shared" si="14"/>
        <v>#VALUE!</v>
      </c>
      <c r="M127" s="415" t="e">
        <f>IF(scheduled_no_payments=1,"",SUM($K$28:$K127))</f>
        <v>#VALUE!</v>
      </c>
      <c r="N127" s="420"/>
    </row>
    <row r="128" spans="2:14" ht="16.5" customHeight="1" x14ac:dyDescent="0.45">
      <c r="B128" s="413" t="str">
        <f>IF(AND(Values_Entered,scheduled_no_payments&lt;&gt;1),B127+1,"")</f>
        <v/>
      </c>
      <c r="C128" s="414" t="str">
        <f>IF(Pay_Num&lt;&gt;"",DATE(YEAR(C127)+VLOOKUP(Interval,LoanLookup[#Data],4,FALSE),MONTH(C127)+VLOOKUP(Interval,LoanLookup[#Data],2,FALSE),DAY(C127)+VLOOKUP(Interval,LoanLookup[#Data],3,FALSE)),"")</f>
        <v/>
      </c>
      <c r="D128" s="415" t="str">
        <f t="shared" si="19"/>
        <v/>
      </c>
      <c r="E128" s="416" t="str">
        <f t="shared" si="17"/>
        <v/>
      </c>
      <c r="F128" s="417" t="e">
        <f>IF(scheduled_no_payments=1,"",IF(Sched_Pay+Scheduled_Extra_Payments&lt;Beg_Bal2,Scheduled_Extra_Payments,IF(AND(Pay_Num&lt;&gt;"",Beg_Bal2-Sched_Pay&gt;0),Beg_Bal2-Sched_Pay,IF(Pay_Num&lt;&gt;"",0,""))))</f>
        <v>#VALUE!</v>
      </c>
      <c r="G128" s="417"/>
      <c r="H128" s="417" t="e">
        <f t="shared" si="18"/>
        <v>#VALUE!</v>
      </c>
      <c r="I128" s="415" t="e">
        <f>IF(scheduled_no_payments=1,"",IF(Sched_Pay+Extra_Pay2&lt;Beg_Bal2,Sched_Pay+Extra_Pay2,IF(Pay_Num&lt;&gt;"",Beg_Bal2,"")))</f>
        <v>#VALUE!</v>
      </c>
      <c r="J128" s="415" t="str">
        <f t="shared" si="16"/>
        <v/>
      </c>
      <c r="K128" s="415" t="str">
        <f>IF(Pay_Num&lt;&gt;"",Beg_Bal2*(InterestRate/VLOOKUP(Interval,LoanLookup[],5,FALSE)),"")</f>
        <v/>
      </c>
      <c r="L128" s="415" t="e">
        <f t="shared" si="14"/>
        <v>#VALUE!</v>
      </c>
      <c r="M128" s="415" t="e">
        <f>IF(scheduled_no_payments=1,"",SUM($K$28:$K128))</f>
        <v>#VALUE!</v>
      </c>
      <c r="N128" s="420"/>
    </row>
    <row r="129" spans="2:14" ht="16.5" customHeight="1" x14ac:dyDescent="0.45">
      <c r="B129" s="413" t="str">
        <f>IF(AND(Values_Entered,scheduled_no_payments&lt;&gt;1),B128+1,"")</f>
        <v/>
      </c>
      <c r="C129" s="414" t="str">
        <f>IF(Pay_Num&lt;&gt;"",DATE(YEAR(C128)+VLOOKUP(Interval,LoanLookup[#Data],4,FALSE),MONTH(C128)+VLOOKUP(Interval,LoanLookup[#Data],2,FALSE),DAY(C128)+VLOOKUP(Interval,LoanLookup[#Data],3,FALSE)),"")</f>
        <v/>
      </c>
      <c r="D129" s="415" t="str">
        <f t="shared" si="19"/>
        <v/>
      </c>
      <c r="E129" s="416" t="str">
        <f t="shared" si="17"/>
        <v/>
      </c>
      <c r="F129" s="417" t="e">
        <f>IF(scheduled_no_payments=1,"",IF(Sched_Pay+Scheduled_Extra_Payments&lt;Beg_Bal2,Scheduled_Extra_Payments,IF(AND(Pay_Num&lt;&gt;"",Beg_Bal2-Sched_Pay&gt;0),Beg_Bal2-Sched_Pay,IF(Pay_Num&lt;&gt;"",0,""))))</f>
        <v>#VALUE!</v>
      </c>
      <c r="G129" s="417"/>
      <c r="H129" s="417" t="e">
        <f t="shared" si="18"/>
        <v>#VALUE!</v>
      </c>
      <c r="I129" s="415" t="e">
        <f>IF(scheduled_no_payments=1,"",IF(Sched_Pay+Extra_Pay2&lt;Beg_Bal2,Sched_Pay+Extra_Pay2,IF(Pay_Num&lt;&gt;"",Beg_Bal2,"")))</f>
        <v>#VALUE!</v>
      </c>
      <c r="J129" s="415" t="str">
        <f t="shared" si="16"/>
        <v/>
      </c>
      <c r="K129" s="415" t="str">
        <f>IF(Pay_Num&lt;&gt;"",Beg_Bal2*(InterestRate/VLOOKUP(Interval,LoanLookup[],5,FALSE)),"")</f>
        <v/>
      </c>
      <c r="L129" s="415" t="e">
        <f t="shared" si="14"/>
        <v>#VALUE!</v>
      </c>
      <c r="M129" s="415" t="e">
        <f>IF(scheduled_no_payments=1,"",SUM($K$28:$K129))</f>
        <v>#VALUE!</v>
      </c>
      <c r="N129" s="420"/>
    </row>
    <row r="130" spans="2:14" ht="16.5" customHeight="1" x14ac:dyDescent="0.45">
      <c r="B130" s="413" t="str">
        <f>IF(AND(Values_Entered,scheduled_no_payments&lt;&gt;1),B129+1,"")</f>
        <v/>
      </c>
      <c r="C130" s="414" t="str">
        <f>IF(Pay_Num&lt;&gt;"",DATE(YEAR(C129)+VLOOKUP(Interval,LoanLookup[#Data],4,FALSE),MONTH(C129)+VLOOKUP(Interval,LoanLookup[#Data],2,FALSE),DAY(C129)+VLOOKUP(Interval,LoanLookup[#Data],3,FALSE)),"")</f>
        <v/>
      </c>
      <c r="D130" s="415" t="str">
        <f t="shared" si="19"/>
        <v/>
      </c>
      <c r="E130" s="416" t="str">
        <f t="shared" si="17"/>
        <v/>
      </c>
      <c r="F130" s="417" t="e">
        <f>IF(scheduled_no_payments=1,"",IF(Sched_Pay+Scheduled_Extra_Payments&lt;Beg_Bal2,Scheduled_Extra_Payments,IF(AND(Pay_Num&lt;&gt;"",Beg_Bal2-Sched_Pay&gt;0),Beg_Bal2-Sched_Pay,IF(Pay_Num&lt;&gt;"",0,""))))</f>
        <v>#VALUE!</v>
      </c>
      <c r="G130" s="417"/>
      <c r="H130" s="417" t="e">
        <f t="shared" si="18"/>
        <v>#VALUE!</v>
      </c>
      <c r="I130" s="415" t="e">
        <f>IF(scheduled_no_payments=1,"",IF(Sched_Pay+Extra_Pay2&lt;Beg_Bal2,Sched_Pay+Extra_Pay2,IF(Pay_Num&lt;&gt;"",Beg_Bal2,"")))</f>
        <v>#VALUE!</v>
      </c>
      <c r="J130" s="415" t="str">
        <f t="shared" si="16"/>
        <v/>
      </c>
      <c r="K130" s="415" t="str">
        <f>IF(Pay_Num&lt;&gt;"",Beg_Bal2*(InterestRate/VLOOKUP(Interval,LoanLookup[],5,FALSE)),"")</f>
        <v/>
      </c>
      <c r="L130" s="415" t="e">
        <f t="shared" si="14"/>
        <v>#VALUE!</v>
      </c>
      <c r="M130" s="415" t="e">
        <f>IF(scheduled_no_payments=1,"",SUM($K$28:$K130))</f>
        <v>#VALUE!</v>
      </c>
      <c r="N130" s="420"/>
    </row>
    <row r="131" spans="2:14" ht="16.5" customHeight="1" x14ac:dyDescent="0.45">
      <c r="B131" s="413" t="str">
        <f>IF(AND(Values_Entered,scheduled_no_payments&lt;&gt;1),B130+1,"")</f>
        <v/>
      </c>
      <c r="C131" s="414" t="str">
        <f>IF(Pay_Num&lt;&gt;"",DATE(YEAR(C130)+VLOOKUP(Interval,LoanLookup[#Data],4,FALSE),MONTH(C130)+VLOOKUP(Interval,LoanLookup[#Data],2,FALSE),DAY(C130)+VLOOKUP(Interval,LoanLookup[#Data],3,FALSE)),"")</f>
        <v/>
      </c>
      <c r="D131" s="415" t="str">
        <f t="shared" si="19"/>
        <v/>
      </c>
      <c r="E131" s="416" t="str">
        <f t="shared" si="17"/>
        <v/>
      </c>
      <c r="F131" s="417" t="e">
        <f>IF(scheduled_no_payments=1,"",IF(Sched_Pay+Scheduled_Extra_Payments&lt;Beg_Bal2,Scheduled_Extra_Payments,IF(AND(Pay_Num&lt;&gt;"",Beg_Bal2-Sched_Pay&gt;0),Beg_Bal2-Sched_Pay,IF(Pay_Num&lt;&gt;"",0,""))))</f>
        <v>#VALUE!</v>
      </c>
      <c r="G131" s="417"/>
      <c r="H131" s="417" t="e">
        <f t="shared" si="18"/>
        <v>#VALUE!</v>
      </c>
      <c r="I131" s="415" t="e">
        <f>IF(scheduled_no_payments=1,"",IF(Sched_Pay+Extra_Pay2&lt;Beg_Bal2,Sched_Pay+Extra_Pay2,IF(Pay_Num&lt;&gt;"",Beg_Bal2,"")))</f>
        <v>#VALUE!</v>
      </c>
      <c r="J131" s="415" t="str">
        <f t="shared" si="16"/>
        <v/>
      </c>
      <c r="K131" s="415" t="str">
        <f>IF(Pay_Num&lt;&gt;"",Beg_Bal2*(InterestRate/VLOOKUP(Interval,LoanLookup[],5,FALSE)),"")</f>
        <v/>
      </c>
      <c r="L131" s="415" t="e">
        <f t="shared" si="14"/>
        <v>#VALUE!</v>
      </c>
      <c r="M131" s="415" t="e">
        <f>IF(scheduled_no_payments=1,"",SUM($K$28:$K131))</f>
        <v>#VALUE!</v>
      </c>
      <c r="N131" s="420"/>
    </row>
    <row r="132" spans="2:14" ht="16.5" customHeight="1" x14ac:dyDescent="0.45">
      <c r="B132" s="413" t="str">
        <f>IF(AND(Values_Entered,scheduled_no_payments&lt;&gt;1),B131+1,"")</f>
        <v/>
      </c>
      <c r="C132" s="414" t="str">
        <f>IF(Pay_Num&lt;&gt;"",DATE(YEAR(C131)+VLOOKUP(Interval,LoanLookup[#Data],4,FALSE),MONTH(C131)+VLOOKUP(Interval,LoanLookup[#Data],2,FALSE),DAY(C131)+VLOOKUP(Interval,LoanLookup[#Data],3,FALSE)),"")</f>
        <v/>
      </c>
      <c r="D132" s="415" t="str">
        <f t="shared" si="19"/>
        <v/>
      </c>
      <c r="E132" s="416" t="str">
        <f t="shared" si="17"/>
        <v/>
      </c>
      <c r="F132" s="417" t="e">
        <f>IF(scheduled_no_payments=1,"",IF(Sched_Pay+Scheduled_Extra_Payments&lt;Beg_Bal2,Scheduled_Extra_Payments,IF(AND(Pay_Num&lt;&gt;"",Beg_Bal2-Sched_Pay&gt;0),Beg_Bal2-Sched_Pay,IF(Pay_Num&lt;&gt;"",0,""))))</f>
        <v>#VALUE!</v>
      </c>
      <c r="G132" s="417"/>
      <c r="H132" s="417" t="e">
        <f t="shared" si="18"/>
        <v>#VALUE!</v>
      </c>
      <c r="I132" s="415" t="e">
        <f>IF(scheduled_no_payments=1,"",IF(Sched_Pay+Extra_Pay2&lt;Beg_Bal2,Sched_Pay+Extra_Pay2,IF(Pay_Num&lt;&gt;"",Beg_Bal2,"")))</f>
        <v>#VALUE!</v>
      </c>
      <c r="J132" s="415" t="str">
        <f t="shared" si="16"/>
        <v/>
      </c>
      <c r="K132" s="415" t="str">
        <f>IF(Pay_Num&lt;&gt;"",Beg_Bal2*(InterestRate/VLOOKUP(Interval,LoanLookup[],5,FALSE)),"")</f>
        <v/>
      </c>
      <c r="L132" s="415" t="e">
        <f t="shared" si="14"/>
        <v>#VALUE!</v>
      </c>
      <c r="M132" s="415" t="e">
        <f>IF(scheduled_no_payments=1,"",SUM($K$28:$K132))</f>
        <v>#VALUE!</v>
      </c>
      <c r="N132" s="420"/>
    </row>
    <row r="133" spans="2:14" ht="16.5" customHeight="1" x14ac:dyDescent="0.45">
      <c r="B133" s="413" t="str">
        <f>IF(AND(Values_Entered,scheduled_no_payments&lt;&gt;1),B132+1,"")</f>
        <v/>
      </c>
      <c r="C133" s="414" t="str">
        <f>IF(Pay_Num&lt;&gt;"",DATE(YEAR(C132)+VLOOKUP(Interval,LoanLookup[#Data],4,FALSE),MONTH(C132)+VLOOKUP(Interval,LoanLookup[#Data],2,FALSE),DAY(C132)+VLOOKUP(Interval,LoanLookup[#Data],3,FALSE)),"")</f>
        <v/>
      </c>
      <c r="D133" s="415" t="str">
        <f t="shared" si="19"/>
        <v/>
      </c>
      <c r="E133" s="416" t="str">
        <f t="shared" si="17"/>
        <v/>
      </c>
      <c r="F133" s="417" t="e">
        <f>IF(scheduled_no_payments=1,"",IF(Sched_Pay+Scheduled_Extra_Payments&lt;Beg_Bal2,Scheduled_Extra_Payments,IF(AND(Pay_Num&lt;&gt;"",Beg_Bal2-Sched_Pay&gt;0),Beg_Bal2-Sched_Pay,IF(Pay_Num&lt;&gt;"",0,""))))</f>
        <v>#VALUE!</v>
      </c>
      <c r="G133" s="417"/>
      <c r="H133" s="417" t="e">
        <f t="shared" si="18"/>
        <v>#VALUE!</v>
      </c>
      <c r="I133" s="415" t="e">
        <f>IF(scheduled_no_payments=1,"",IF(Sched_Pay+Extra_Pay2&lt;Beg_Bal2,Sched_Pay+Extra_Pay2,IF(Pay_Num&lt;&gt;"",Beg_Bal2,"")))</f>
        <v>#VALUE!</v>
      </c>
      <c r="J133" s="415" t="str">
        <f t="shared" si="16"/>
        <v/>
      </c>
      <c r="K133" s="415" t="str">
        <f>IF(Pay_Num&lt;&gt;"",Beg_Bal2*(InterestRate/VLOOKUP(Interval,LoanLookup[],5,FALSE)),"")</f>
        <v/>
      </c>
      <c r="L133" s="415" t="e">
        <f t="shared" si="14"/>
        <v>#VALUE!</v>
      </c>
      <c r="M133" s="415" t="e">
        <f>IF(scheduled_no_payments=1,"",SUM($K$28:$K133))</f>
        <v>#VALUE!</v>
      </c>
      <c r="N133" s="420"/>
    </row>
    <row r="134" spans="2:14" ht="16.5" customHeight="1" x14ac:dyDescent="0.45">
      <c r="B134" s="413" t="str">
        <f>IF(AND(Values_Entered,scheduled_no_payments&lt;&gt;1),B133+1,"")</f>
        <v/>
      </c>
      <c r="C134" s="414" t="str">
        <f>IF(Pay_Num&lt;&gt;"",DATE(YEAR(C133)+VLOOKUP(Interval,LoanLookup[#Data],4,FALSE),MONTH(C133)+VLOOKUP(Interval,LoanLookup[#Data],2,FALSE),DAY(C133)+VLOOKUP(Interval,LoanLookup[#Data],3,FALSE)),"")</f>
        <v/>
      </c>
      <c r="D134" s="415" t="str">
        <f t="shared" si="19"/>
        <v/>
      </c>
      <c r="E134" s="416" t="str">
        <f t="shared" si="17"/>
        <v/>
      </c>
      <c r="F134" s="417" t="e">
        <f>IF(scheduled_no_payments=1,"",IF(Sched_Pay+Scheduled_Extra_Payments&lt;Beg_Bal2,Scheduled_Extra_Payments,IF(AND(Pay_Num&lt;&gt;"",Beg_Bal2-Sched_Pay&gt;0),Beg_Bal2-Sched_Pay,IF(Pay_Num&lt;&gt;"",0,""))))</f>
        <v>#VALUE!</v>
      </c>
      <c r="G134" s="417"/>
      <c r="H134" s="417" t="e">
        <f t="shared" si="18"/>
        <v>#VALUE!</v>
      </c>
      <c r="I134" s="415" t="e">
        <f>IF(scheduled_no_payments=1,"",IF(Sched_Pay+Extra_Pay2&lt;Beg_Bal2,Sched_Pay+Extra_Pay2,IF(Pay_Num&lt;&gt;"",Beg_Bal2,"")))</f>
        <v>#VALUE!</v>
      </c>
      <c r="J134" s="415" t="str">
        <f t="shared" si="16"/>
        <v/>
      </c>
      <c r="K134" s="415" t="str">
        <f>IF(Pay_Num&lt;&gt;"",Beg_Bal2*(InterestRate/VLOOKUP(Interval,LoanLookup[],5,FALSE)),"")</f>
        <v/>
      </c>
      <c r="L134" s="415" t="e">
        <f t="shared" si="14"/>
        <v>#VALUE!</v>
      </c>
      <c r="M134" s="415" t="e">
        <f>IF(scheduled_no_payments=1,"",SUM($K$28:$K134))</f>
        <v>#VALUE!</v>
      </c>
      <c r="N134" s="420"/>
    </row>
    <row r="135" spans="2:14" ht="16.5" customHeight="1" x14ac:dyDescent="0.45">
      <c r="B135" s="413" t="str">
        <f>IF(AND(Values_Entered,scheduled_no_payments&lt;&gt;1),B134+1,"")</f>
        <v/>
      </c>
      <c r="C135" s="414" t="str">
        <f>IF(Pay_Num&lt;&gt;"",DATE(YEAR(C134)+VLOOKUP(Interval,LoanLookup[#Data],4,FALSE),MONTH(C134)+VLOOKUP(Interval,LoanLookup[#Data],2,FALSE),DAY(C134)+VLOOKUP(Interval,LoanLookup[#Data],3,FALSE)),"")</f>
        <v/>
      </c>
      <c r="D135" s="415" t="str">
        <f t="shared" si="19"/>
        <v/>
      </c>
      <c r="E135" s="416" t="str">
        <f t="shared" si="17"/>
        <v/>
      </c>
      <c r="F135" s="417" t="e">
        <f>IF(scheduled_no_payments=1,"",IF(Sched_Pay+Scheduled_Extra_Payments&lt;Beg_Bal2,Scheduled_Extra_Payments,IF(AND(Pay_Num&lt;&gt;"",Beg_Bal2-Sched_Pay&gt;0),Beg_Bal2-Sched_Pay,IF(Pay_Num&lt;&gt;"",0,""))))</f>
        <v>#VALUE!</v>
      </c>
      <c r="G135" s="417"/>
      <c r="H135" s="417" t="e">
        <f t="shared" si="18"/>
        <v>#VALUE!</v>
      </c>
      <c r="I135" s="415" t="e">
        <f>IF(scheduled_no_payments=1,"",IF(Sched_Pay+Extra_Pay2&lt;Beg_Bal2,Sched_Pay+Extra_Pay2,IF(Pay_Num&lt;&gt;"",Beg_Bal2,"")))</f>
        <v>#VALUE!</v>
      </c>
      <c r="J135" s="415" t="str">
        <f t="shared" si="16"/>
        <v/>
      </c>
      <c r="K135" s="415" t="str">
        <f>IF(Pay_Num&lt;&gt;"",Beg_Bal2*(InterestRate/VLOOKUP(Interval,LoanLookup[],5,FALSE)),"")</f>
        <v/>
      </c>
      <c r="L135" s="415" t="e">
        <f t="shared" si="14"/>
        <v>#VALUE!</v>
      </c>
      <c r="M135" s="415" t="e">
        <f>IF(scheduled_no_payments=1,"",SUM($K$28:$K135))</f>
        <v>#VALUE!</v>
      </c>
      <c r="N135" s="420"/>
    </row>
    <row r="136" spans="2:14" ht="16.5" customHeight="1" x14ac:dyDescent="0.45">
      <c r="B136" s="413" t="str">
        <f>IF(AND(Values_Entered,scheduled_no_payments&lt;&gt;1),B135+1,"")</f>
        <v/>
      </c>
      <c r="C136" s="414" t="str">
        <f>IF(Pay_Num&lt;&gt;"",DATE(YEAR(C135)+VLOOKUP(Interval,LoanLookup[#Data],4,FALSE),MONTH(C135)+VLOOKUP(Interval,LoanLookup[#Data],2,FALSE),DAY(C135)+VLOOKUP(Interval,LoanLookup[#Data],3,FALSE)),"")</f>
        <v/>
      </c>
      <c r="D136" s="415" t="str">
        <f t="shared" si="19"/>
        <v/>
      </c>
      <c r="E136" s="416" t="str">
        <f t="shared" si="17"/>
        <v/>
      </c>
      <c r="F136" s="417" t="e">
        <f>IF(scheduled_no_payments=1,"",IF(Sched_Pay+Scheduled_Extra_Payments&lt;Beg_Bal2,Scheduled_Extra_Payments,IF(AND(Pay_Num&lt;&gt;"",Beg_Bal2-Sched_Pay&gt;0),Beg_Bal2-Sched_Pay,IF(Pay_Num&lt;&gt;"",0,""))))</f>
        <v>#VALUE!</v>
      </c>
      <c r="G136" s="417"/>
      <c r="H136" s="417" t="e">
        <f t="shared" si="18"/>
        <v>#VALUE!</v>
      </c>
      <c r="I136" s="415" t="e">
        <f>IF(scheduled_no_payments=1,"",IF(Sched_Pay+Extra_Pay2&lt;Beg_Bal2,Sched_Pay+Extra_Pay2,IF(Pay_Num&lt;&gt;"",Beg_Bal2,"")))</f>
        <v>#VALUE!</v>
      </c>
      <c r="J136" s="415" t="str">
        <f t="shared" si="16"/>
        <v/>
      </c>
      <c r="K136" s="415" t="str">
        <f>IF(Pay_Num&lt;&gt;"",Beg_Bal2*(InterestRate/VLOOKUP(Interval,LoanLookup[],5,FALSE)),"")</f>
        <v/>
      </c>
      <c r="L136" s="415" t="e">
        <f t="shared" si="14"/>
        <v>#VALUE!</v>
      </c>
      <c r="M136" s="415" t="e">
        <f>IF(scheduled_no_payments=1,"",SUM($K$28:$K136))</f>
        <v>#VALUE!</v>
      </c>
      <c r="N136" s="420"/>
    </row>
    <row r="137" spans="2:14" ht="16.5" customHeight="1" x14ac:dyDescent="0.45">
      <c r="B137" s="413" t="str">
        <f>IF(AND(Values_Entered,scheduled_no_payments&lt;&gt;1),B136+1,"")</f>
        <v/>
      </c>
      <c r="C137" s="414" t="str">
        <f>IF(Pay_Num&lt;&gt;"",DATE(YEAR(C136)+VLOOKUP(Interval,LoanLookup[#Data],4,FALSE),MONTH(C136)+VLOOKUP(Interval,LoanLookup[#Data],2,FALSE),DAY(C136)+VLOOKUP(Interval,LoanLookup[#Data],3,FALSE)),"")</f>
        <v/>
      </c>
      <c r="D137" s="415" t="str">
        <f t="shared" si="19"/>
        <v/>
      </c>
      <c r="E137" s="416" t="str">
        <f t="shared" si="17"/>
        <v/>
      </c>
      <c r="F137" s="417" t="e">
        <f>IF(scheduled_no_payments=1,"",IF(Sched_Pay+Scheduled_Extra_Payments&lt;Beg_Bal2,Scheduled_Extra_Payments,IF(AND(Pay_Num&lt;&gt;"",Beg_Bal2-Sched_Pay&gt;0),Beg_Bal2-Sched_Pay,IF(Pay_Num&lt;&gt;"",0,""))))</f>
        <v>#VALUE!</v>
      </c>
      <c r="G137" s="417"/>
      <c r="H137" s="417" t="e">
        <f t="shared" si="18"/>
        <v>#VALUE!</v>
      </c>
      <c r="I137" s="415" t="e">
        <f>IF(scheduled_no_payments=1,"",IF(Sched_Pay+Extra_Pay2&lt;Beg_Bal2,Sched_Pay+Extra_Pay2,IF(Pay_Num&lt;&gt;"",Beg_Bal2,"")))</f>
        <v>#VALUE!</v>
      </c>
      <c r="J137" s="415" t="str">
        <f t="shared" si="16"/>
        <v/>
      </c>
      <c r="K137" s="415" t="str">
        <f>IF(Pay_Num&lt;&gt;"",Beg_Bal2*(InterestRate/VLOOKUP(Interval,LoanLookup[],5,FALSE)),"")</f>
        <v/>
      </c>
      <c r="L137" s="415" t="e">
        <f t="shared" si="14"/>
        <v>#VALUE!</v>
      </c>
      <c r="M137" s="415" t="e">
        <f>IF(scheduled_no_payments=1,"",SUM($K$28:$K137))</f>
        <v>#VALUE!</v>
      </c>
      <c r="N137" s="420"/>
    </row>
    <row r="138" spans="2:14" ht="16.5" customHeight="1" x14ac:dyDescent="0.45">
      <c r="B138" s="413" t="str">
        <f>IF(AND(Values_Entered,scheduled_no_payments&lt;&gt;1),B137+1,"")</f>
        <v/>
      </c>
      <c r="C138" s="414" t="str">
        <f>IF(Pay_Num&lt;&gt;"",DATE(YEAR(C137)+VLOOKUP(Interval,LoanLookup[#Data],4,FALSE),MONTH(C137)+VLOOKUP(Interval,LoanLookup[#Data],2,FALSE),DAY(C137)+VLOOKUP(Interval,LoanLookup[#Data],3,FALSE)),"")</f>
        <v/>
      </c>
      <c r="D138" s="415" t="str">
        <f t="shared" si="19"/>
        <v/>
      </c>
      <c r="E138" s="416" t="str">
        <f t="shared" si="17"/>
        <v/>
      </c>
      <c r="F138" s="417" t="e">
        <f>IF(scheduled_no_payments=1,"",IF(Sched_Pay+Scheduled_Extra_Payments&lt;Beg_Bal2,Scheduled_Extra_Payments,IF(AND(Pay_Num&lt;&gt;"",Beg_Bal2-Sched_Pay&gt;0),Beg_Bal2-Sched_Pay,IF(Pay_Num&lt;&gt;"",0,""))))</f>
        <v>#VALUE!</v>
      </c>
      <c r="G138" s="417"/>
      <c r="H138" s="417" t="e">
        <f t="shared" si="18"/>
        <v>#VALUE!</v>
      </c>
      <c r="I138" s="415" t="e">
        <f>IF(scheduled_no_payments=1,"",IF(Sched_Pay+Extra_Pay2&lt;Beg_Bal2,Sched_Pay+Extra_Pay2,IF(Pay_Num&lt;&gt;"",Beg_Bal2,"")))</f>
        <v>#VALUE!</v>
      </c>
      <c r="J138" s="415" t="str">
        <f t="shared" si="16"/>
        <v/>
      </c>
      <c r="K138" s="415" t="str">
        <f>IF(Pay_Num&lt;&gt;"",Beg_Bal2*(InterestRate/VLOOKUP(Interval,LoanLookup[],5,FALSE)),"")</f>
        <v/>
      </c>
      <c r="L138" s="415" t="e">
        <f t="shared" si="14"/>
        <v>#VALUE!</v>
      </c>
      <c r="M138" s="415" t="e">
        <f>IF(scheduled_no_payments=1,"",SUM($K$28:$K138))</f>
        <v>#VALUE!</v>
      </c>
      <c r="N138" s="420"/>
    </row>
    <row r="139" spans="2:14" ht="16.5" customHeight="1" x14ac:dyDescent="0.45">
      <c r="B139" s="413" t="str">
        <f>IF(AND(Values_Entered,scheduled_no_payments&lt;&gt;1),B138+1,"")</f>
        <v/>
      </c>
      <c r="C139" s="414" t="str">
        <f>IF(Pay_Num&lt;&gt;"",DATE(YEAR(C138)+VLOOKUP(Interval,LoanLookup[#Data],4,FALSE),MONTH(C138)+VLOOKUP(Interval,LoanLookup[#Data],2,FALSE),DAY(C138)+VLOOKUP(Interval,LoanLookup[#Data],3,FALSE)),"")</f>
        <v/>
      </c>
      <c r="D139" s="415" t="str">
        <f t="shared" si="19"/>
        <v/>
      </c>
      <c r="E139" s="416" t="str">
        <f t="shared" si="17"/>
        <v/>
      </c>
      <c r="F139" s="417" t="e">
        <f>IF(scheduled_no_payments=1,"",IF(Sched_Pay+Scheduled_Extra_Payments&lt;Beg_Bal2,Scheduled_Extra_Payments,IF(AND(Pay_Num&lt;&gt;"",Beg_Bal2-Sched_Pay&gt;0),Beg_Bal2-Sched_Pay,IF(Pay_Num&lt;&gt;"",0,""))))</f>
        <v>#VALUE!</v>
      </c>
      <c r="G139" s="417"/>
      <c r="H139" s="417" t="e">
        <f t="shared" si="18"/>
        <v>#VALUE!</v>
      </c>
      <c r="I139" s="415" t="e">
        <f>IF(scheduled_no_payments=1,"",IF(Sched_Pay+Extra_Pay2&lt;Beg_Bal2,Sched_Pay+Extra_Pay2,IF(Pay_Num&lt;&gt;"",Beg_Bal2,"")))</f>
        <v>#VALUE!</v>
      </c>
      <c r="J139" s="415" t="str">
        <f t="shared" si="16"/>
        <v/>
      </c>
      <c r="K139" s="415" t="str">
        <f>IF(Pay_Num&lt;&gt;"",Beg_Bal2*(InterestRate/VLOOKUP(Interval,LoanLookup[],5,FALSE)),"")</f>
        <v/>
      </c>
      <c r="L139" s="415" t="e">
        <f t="shared" si="14"/>
        <v>#VALUE!</v>
      </c>
      <c r="M139" s="415" t="e">
        <f>IF(scheduled_no_payments=1,"",SUM($K$28:$K139))</f>
        <v>#VALUE!</v>
      </c>
      <c r="N139" s="420"/>
    </row>
    <row r="140" spans="2:14" ht="16.5" customHeight="1" x14ac:dyDescent="0.45">
      <c r="B140" s="413" t="str">
        <f>IF(AND(Values_Entered,scheduled_no_payments&lt;&gt;1),B139+1,"")</f>
        <v/>
      </c>
      <c r="C140" s="414" t="str">
        <f>IF(Pay_Num&lt;&gt;"",DATE(YEAR(C139)+VLOOKUP(Interval,LoanLookup[#Data],4,FALSE),MONTH(C139)+VLOOKUP(Interval,LoanLookup[#Data],2,FALSE),DAY(C139)+VLOOKUP(Interval,LoanLookup[#Data],3,FALSE)),"")</f>
        <v/>
      </c>
      <c r="D140" s="415" t="str">
        <f t="shared" si="19"/>
        <v/>
      </c>
      <c r="E140" s="416" t="str">
        <f t="shared" si="17"/>
        <v/>
      </c>
      <c r="F140" s="417" t="e">
        <f>IF(scheduled_no_payments=1,"",IF(Sched_Pay+Scheduled_Extra_Payments&lt;Beg_Bal2,Scheduled_Extra_Payments,IF(AND(Pay_Num&lt;&gt;"",Beg_Bal2-Sched_Pay&gt;0),Beg_Bal2-Sched_Pay,IF(Pay_Num&lt;&gt;"",0,""))))</f>
        <v>#VALUE!</v>
      </c>
      <c r="G140" s="417"/>
      <c r="H140" s="417" t="e">
        <f t="shared" si="18"/>
        <v>#VALUE!</v>
      </c>
      <c r="I140" s="415" t="e">
        <f>IF(scheduled_no_payments=1,"",IF(Sched_Pay+Extra_Pay2&lt;Beg_Bal2,Sched_Pay+Extra_Pay2,IF(Pay_Num&lt;&gt;"",Beg_Bal2,"")))</f>
        <v>#VALUE!</v>
      </c>
      <c r="J140" s="415" t="str">
        <f t="shared" si="16"/>
        <v/>
      </c>
      <c r="K140" s="415" t="str">
        <f>IF(Pay_Num&lt;&gt;"",Beg_Bal2*(InterestRate/VLOOKUP(Interval,LoanLookup[],5,FALSE)),"")</f>
        <v/>
      </c>
      <c r="L140" s="415" t="e">
        <f t="shared" si="14"/>
        <v>#VALUE!</v>
      </c>
      <c r="M140" s="415" t="e">
        <f>IF(scheduled_no_payments=1,"",SUM($K$28:$K140))</f>
        <v>#VALUE!</v>
      </c>
      <c r="N140" s="420"/>
    </row>
    <row r="141" spans="2:14" ht="16.5" customHeight="1" x14ac:dyDescent="0.45">
      <c r="B141" s="413" t="str">
        <f>IF(AND(Values_Entered,scheduled_no_payments&lt;&gt;1),B140+1,"")</f>
        <v/>
      </c>
      <c r="C141" s="414" t="str">
        <f>IF(Pay_Num&lt;&gt;"",DATE(YEAR(C140)+VLOOKUP(Interval,LoanLookup[#Data],4,FALSE),MONTH(C140)+VLOOKUP(Interval,LoanLookup[#Data],2,FALSE),DAY(C140)+VLOOKUP(Interval,LoanLookup[#Data],3,FALSE)),"")</f>
        <v/>
      </c>
      <c r="D141" s="415" t="str">
        <f t="shared" si="19"/>
        <v/>
      </c>
      <c r="E141" s="416" t="str">
        <f t="shared" si="17"/>
        <v/>
      </c>
      <c r="F141" s="417" t="e">
        <f>IF(scheduled_no_payments=1,"",IF(Sched_Pay+Scheduled_Extra_Payments&lt;Beg_Bal2,Scheduled_Extra_Payments,IF(AND(Pay_Num&lt;&gt;"",Beg_Bal2-Sched_Pay&gt;0),Beg_Bal2-Sched_Pay,IF(Pay_Num&lt;&gt;"",0,""))))</f>
        <v>#VALUE!</v>
      </c>
      <c r="G141" s="417"/>
      <c r="H141" s="417" t="e">
        <f t="shared" si="18"/>
        <v>#VALUE!</v>
      </c>
      <c r="I141" s="415" t="e">
        <f>IF(scheduled_no_payments=1,"",IF(Sched_Pay+Extra_Pay2&lt;Beg_Bal2,Sched_Pay+Extra_Pay2,IF(Pay_Num&lt;&gt;"",Beg_Bal2,"")))</f>
        <v>#VALUE!</v>
      </c>
      <c r="J141" s="415" t="str">
        <f t="shared" si="16"/>
        <v/>
      </c>
      <c r="K141" s="415" t="str">
        <f>IF(Pay_Num&lt;&gt;"",Beg_Bal2*(InterestRate/VLOOKUP(Interval,LoanLookup[],5,FALSE)),"")</f>
        <v/>
      </c>
      <c r="L141" s="415" t="e">
        <f t="shared" si="14"/>
        <v>#VALUE!</v>
      </c>
      <c r="M141" s="415" t="e">
        <f>IF(scheduled_no_payments=1,"",SUM($K$28:$K141))</f>
        <v>#VALUE!</v>
      </c>
      <c r="N141" s="420"/>
    </row>
    <row r="142" spans="2:14" ht="16.5" customHeight="1" x14ac:dyDescent="0.45">
      <c r="B142" s="413" t="str">
        <f>IF(AND(Values_Entered,scheduled_no_payments&lt;&gt;1),B141+1,"")</f>
        <v/>
      </c>
      <c r="C142" s="414" t="str">
        <f>IF(Pay_Num&lt;&gt;"",DATE(YEAR(C141)+VLOOKUP(Interval,LoanLookup[#Data],4,FALSE),MONTH(C141)+VLOOKUP(Interval,LoanLookup[#Data],2,FALSE),DAY(C141)+VLOOKUP(Interval,LoanLookup[#Data],3,FALSE)),"")</f>
        <v/>
      </c>
      <c r="D142" s="415" t="str">
        <f t="shared" si="19"/>
        <v/>
      </c>
      <c r="E142" s="416" t="str">
        <f t="shared" si="17"/>
        <v/>
      </c>
      <c r="F142" s="417" t="e">
        <f>IF(scheduled_no_payments=1,"",IF(Sched_Pay+Scheduled_Extra_Payments&lt;Beg_Bal2,Scheduled_Extra_Payments,IF(AND(Pay_Num&lt;&gt;"",Beg_Bal2-Sched_Pay&gt;0),Beg_Bal2-Sched_Pay,IF(Pay_Num&lt;&gt;"",0,""))))</f>
        <v>#VALUE!</v>
      </c>
      <c r="G142" s="417"/>
      <c r="H142" s="417" t="e">
        <f t="shared" si="18"/>
        <v>#VALUE!</v>
      </c>
      <c r="I142" s="415" t="e">
        <f>IF(scheduled_no_payments=1,"",IF(Sched_Pay+Extra_Pay2&lt;Beg_Bal2,Sched_Pay+Extra_Pay2,IF(Pay_Num&lt;&gt;"",Beg_Bal2,"")))</f>
        <v>#VALUE!</v>
      </c>
      <c r="J142" s="415" t="str">
        <f t="shared" si="16"/>
        <v/>
      </c>
      <c r="K142" s="415" t="str">
        <f>IF(Pay_Num&lt;&gt;"",Beg_Bal2*(InterestRate/VLOOKUP(Interval,LoanLookup[],5,FALSE)),"")</f>
        <v/>
      </c>
      <c r="L142" s="415" t="e">
        <f t="shared" si="14"/>
        <v>#VALUE!</v>
      </c>
      <c r="M142" s="415" t="e">
        <f>IF(scheduled_no_payments=1,"",SUM($K$28:$K142))</f>
        <v>#VALUE!</v>
      </c>
      <c r="N142" s="420"/>
    </row>
    <row r="143" spans="2:14" ht="16.5" customHeight="1" x14ac:dyDescent="0.45">
      <c r="B143" s="413" t="str">
        <f>IF(AND(Values_Entered,scheduled_no_payments&lt;&gt;1),B142+1,"")</f>
        <v/>
      </c>
      <c r="C143" s="414" t="str">
        <f>IF(Pay_Num&lt;&gt;"",DATE(YEAR(C142)+VLOOKUP(Interval,LoanLookup[#Data],4,FALSE),MONTH(C142)+VLOOKUP(Interval,LoanLookup[#Data],2,FALSE),DAY(C142)+VLOOKUP(Interval,LoanLookup[#Data],3,FALSE)),"")</f>
        <v/>
      </c>
      <c r="D143" s="415" t="str">
        <f t="shared" si="19"/>
        <v/>
      </c>
      <c r="E143" s="416" t="str">
        <f t="shared" si="17"/>
        <v/>
      </c>
      <c r="F143" s="417" t="e">
        <f>IF(scheduled_no_payments=1,"",IF(Sched_Pay+Scheduled_Extra_Payments&lt;Beg_Bal2,Scheduled_Extra_Payments,IF(AND(Pay_Num&lt;&gt;"",Beg_Bal2-Sched_Pay&gt;0),Beg_Bal2-Sched_Pay,IF(Pay_Num&lt;&gt;"",0,""))))</f>
        <v>#VALUE!</v>
      </c>
      <c r="G143" s="417"/>
      <c r="H143" s="417" t="e">
        <f t="shared" si="18"/>
        <v>#VALUE!</v>
      </c>
      <c r="I143" s="415" t="e">
        <f>IF(scheduled_no_payments=1,"",IF(Sched_Pay+Extra_Pay2&lt;Beg_Bal2,Sched_Pay+Extra_Pay2,IF(Pay_Num&lt;&gt;"",Beg_Bal2,"")))</f>
        <v>#VALUE!</v>
      </c>
      <c r="J143" s="415" t="str">
        <f t="shared" si="16"/>
        <v/>
      </c>
      <c r="K143" s="415" t="str">
        <f>IF(Pay_Num&lt;&gt;"",Beg_Bal2*(InterestRate/VLOOKUP(Interval,LoanLookup[],5,FALSE)),"")</f>
        <v/>
      </c>
      <c r="L143" s="415" t="e">
        <f t="shared" si="14"/>
        <v>#VALUE!</v>
      </c>
      <c r="M143" s="415" t="e">
        <f>IF(scheduled_no_payments=1,"",SUM($K$28:$K143))</f>
        <v>#VALUE!</v>
      </c>
      <c r="N143" s="420"/>
    </row>
    <row r="144" spans="2:14" ht="16.5" customHeight="1" x14ac:dyDescent="0.45">
      <c r="B144" s="413" t="str">
        <f>IF(AND(Values_Entered,scheduled_no_payments&lt;&gt;1),B143+1,"")</f>
        <v/>
      </c>
      <c r="C144" s="414" t="str">
        <f>IF(Pay_Num&lt;&gt;"",DATE(YEAR(C143)+VLOOKUP(Interval,LoanLookup[#Data],4,FALSE),MONTH(C143)+VLOOKUP(Interval,LoanLookup[#Data],2,FALSE),DAY(C143)+VLOOKUP(Interval,LoanLookup[#Data],3,FALSE)),"")</f>
        <v/>
      </c>
      <c r="D144" s="415" t="str">
        <f t="shared" si="19"/>
        <v/>
      </c>
      <c r="E144" s="416" t="str">
        <f t="shared" si="17"/>
        <v/>
      </c>
      <c r="F144" s="417" t="e">
        <f>IF(scheduled_no_payments=1,"",IF(Sched_Pay+Scheduled_Extra_Payments&lt;Beg_Bal2,Scheduled_Extra_Payments,IF(AND(Pay_Num&lt;&gt;"",Beg_Bal2-Sched_Pay&gt;0),Beg_Bal2-Sched_Pay,IF(Pay_Num&lt;&gt;"",0,""))))</f>
        <v>#VALUE!</v>
      </c>
      <c r="G144" s="417"/>
      <c r="H144" s="417" t="e">
        <f t="shared" si="18"/>
        <v>#VALUE!</v>
      </c>
      <c r="I144" s="415" t="e">
        <f>IF(scheduled_no_payments=1,"",IF(Sched_Pay+Extra_Pay2&lt;Beg_Bal2,Sched_Pay+Extra_Pay2,IF(Pay_Num&lt;&gt;"",Beg_Bal2,"")))</f>
        <v>#VALUE!</v>
      </c>
      <c r="J144" s="415" t="str">
        <f t="shared" si="16"/>
        <v/>
      </c>
      <c r="K144" s="415" t="str">
        <f>IF(Pay_Num&lt;&gt;"",Beg_Bal2*(InterestRate/VLOOKUP(Interval,LoanLookup[],5,FALSE)),"")</f>
        <v/>
      </c>
      <c r="L144" s="415" t="e">
        <f t="shared" si="14"/>
        <v>#VALUE!</v>
      </c>
      <c r="M144" s="415" t="e">
        <f>IF(scheduled_no_payments=1,"",SUM($K$28:$K144))</f>
        <v>#VALUE!</v>
      </c>
      <c r="N144" s="420"/>
    </row>
    <row r="145" spans="2:14" ht="16.5" customHeight="1" x14ac:dyDescent="0.45">
      <c r="B145" s="413" t="str">
        <f>IF(AND(Values_Entered,scheduled_no_payments&lt;&gt;1),B144+1,"")</f>
        <v/>
      </c>
      <c r="C145" s="414" t="str">
        <f>IF(Pay_Num&lt;&gt;"",DATE(YEAR(C144)+VLOOKUP(Interval,LoanLookup[#Data],4,FALSE),MONTH(C144)+VLOOKUP(Interval,LoanLookup[#Data],2,FALSE),DAY(C144)+VLOOKUP(Interval,LoanLookup[#Data],3,FALSE)),"")</f>
        <v/>
      </c>
      <c r="D145" s="415" t="str">
        <f t="shared" si="19"/>
        <v/>
      </c>
      <c r="E145" s="416" t="str">
        <f t="shared" si="17"/>
        <v/>
      </c>
      <c r="F145" s="417" t="e">
        <f>IF(scheduled_no_payments=1,"",IF(Sched_Pay+Scheduled_Extra_Payments&lt;Beg_Bal2,Scheduled_Extra_Payments,IF(AND(Pay_Num&lt;&gt;"",Beg_Bal2-Sched_Pay&gt;0),Beg_Bal2-Sched_Pay,IF(Pay_Num&lt;&gt;"",0,""))))</f>
        <v>#VALUE!</v>
      </c>
      <c r="G145" s="417"/>
      <c r="H145" s="417" t="e">
        <f t="shared" si="18"/>
        <v>#VALUE!</v>
      </c>
      <c r="I145" s="415" t="e">
        <f>IF(scheduled_no_payments=1,"",IF(Sched_Pay+Extra_Pay2&lt;Beg_Bal2,Sched_Pay+Extra_Pay2,IF(Pay_Num&lt;&gt;"",Beg_Bal2,"")))</f>
        <v>#VALUE!</v>
      </c>
      <c r="J145" s="415" t="str">
        <f t="shared" si="16"/>
        <v/>
      </c>
      <c r="K145" s="415" t="str">
        <f>IF(Pay_Num&lt;&gt;"",Beg_Bal2*(InterestRate/VLOOKUP(Interval,LoanLookup[],5,FALSE)),"")</f>
        <v/>
      </c>
      <c r="L145" s="415" t="e">
        <f t="shared" si="14"/>
        <v>#VALUE!</v>
      </c>
      <c r="M145" s="415" t="e">
        <f>IF(scheduled_no_payments=1,"",SUM($K$28:$K145))</f>
        <v>#VALUE!</v>
      </c>
      <c r="N145" s="420"/>
    </row>
    <row r="146" spans="2:14" ht="16.5" customHeight="1" x14ac:dyDescent="0.45">
      <c r="B146" s="413" t="str">
        <f>IF(AND(Values_Entered,scheduled_no_payments&lt;&gt;1),B145+1,"")</f>
        <v/>
      </c>
      <c r="C146" s="414" t="str">
        <f>IF(Pay_Num&lt;&gt;"",DATE(YEAR(C145)+VLOOKUP(Interval,LoanLookup[#Data],4,FALSE),MONTH(C145)+VLOOKUP(Interval,LoanLookup[#Data],2,FALSE),DAY(C145)+VLOOKUP(Interval,LoanLookup[#Data],3,FALSE)),"")</f>
        <v/>
      </c>
      <c r="D146" s="415" t="str">
        <f t="shared" si="19"/>
        <v/>
      </c>
      <c r="E146" s="416" t="str">
        <f t="shared" si="17"/>
        <v/>
      </c>
      <c r="F146" s="417" t="e">
        <f>IF(scheduled_no_payments=1,"",IF(Sched_Pay+Scheduled_Extra_Payments&lt;Beg_Bal2,Scheduled_Extra_Payments,IF(AND(Pay_Num&lt;&gt;"",Beg_Bal2-Sched_Pay&gt;0),Beg_Bal2-Sched_Pay,IF(Pay_Num&lt;&gt;"",0,""))))</f>
        <v>#VALUE!</v>
      </c>
      <c r="G146" s="417"/>
      <c r="H146" s="417" t="e">
        <f t="shared" si="18"/>
        <v>#VALUE!</v>
      </c>
      <c r="I146" s="415" t="e">
        <f>IF(scheduled_no_payments=1,"",IF(Sched_Pay+Extra_Pay2&lt;Beg_Bal2,Sched_Pay+Extra_Pay2,IF(Pay_Num&lt;&gt;"",Beg_Bal2,"")))</f>
        <v>#VALUE!</v>
      </c>
      <c r="J146" s="415" t="str">
        <f t="shared" si="16"/>
        <v/>
      </c>
      <c r="K146" s="415" t="str">
        <f>IF(Pay_Num&lt;&gt;"",Beg_Bal2*(InterestRate/VLOOKUP(Interval,LoanLookup[],5,FALSE)),"")</f>
        <v/>
      </c>
      <c r="L146" s="415" t="e">
        <f t="shared" si="14"/>
        <v>#VALUE!</v>
      </c>
      <c r="M146" s="415" t="e">
        <f>IF(scheduled_no_payments=1,"",SUM($K$28:$K146))</f>
        <v>#VALUE!</v>
      </c>
      <c r="N146" s="420"/>
    </row>
    <row r="147" spans="2:14" ht="16.5" customHeight="1" x14ac:dyDescent="0.45">
      <c r="B147" s="413" t="str">
        <f>IF(AND(Values_Entered,scheduled_no_payments&lt;&gt;1),B146+1,"")</f>
        <v/>
      </c>
      <c r="C147" s="414" t="str">
        <f>IF(Pay_Num&lt;&gt;"",DATE(YEAR(C146)+VLOOKUP(Interval,LoanLookup[#Data],4,FALSE),MONTH(C146)+VLOOKUP(Interval,LoanLookup[#Data],2,FALSE),DAY(C146)+VLOOKUP(Interval,LoanLookup[#Data],3,FALSE)),"")</f>
        <v/>
      </c>
      <c r="D147" s="415" t="str">
        <f t="shared" si="19"/>
        <v/>
      </c>
      <c r="E147" s="416" t="str">
        <f t="shared" si="17"/>
        <v/>
      </c>
      <c r="F147" s="417" t="e">
        <f>IF(scheduled_no_payments=1,"",IF(Sched_Pay+Scheduled_Extra_Payments&lt;Beg_Bal2,Scheduled_Extra_Payments,IF(AND(Pay_Num&lt;&gt;"",Beg_Bal2-Sched_Pay&gt;0),Beg_Bal2-Sched_Pay,IF(Pay_Num&lt;&gt;"",0,""))))</f>
        <v>#VALUE!</v>
      </c>
      <c r="G147" s="417"/>
      <c r="H147" s="417" t="e">
        <f t="shared" si="18"/>
        <v>#VALUE!</v>
      </c>
      <c r="I147" s="415" t="e">
        <f>IF(scheduled_no_payments=1,"",IF(Sched_Pay+Extra_Pay2&lt;Beg_Bal2,Sched_Pay+Extra_Pay2,IF(Pay_Num&lt;&gt;"",Beg_Bal2,"")))</f>
        <v>#VALUE!</v>
      </c>
      <c r="J147" s="415" t="str">
        <f t="shared" si="16"/>
        <v/>
      </c>
      <c r="K147" s="415" t="str">
        <f>IF(Pay_Num&lt;&gt;"",Beg_Bal2*(InterestRate/VLOOKUP(Interval,LoanLookup[],5,FALSE)),"")</f>
        <v/>
      </c>
      <c r="L147" s="415" t="e">
        <f t="shared" si="14"/>
        <v>#VALUE!</v>
      </c>
      <c r="M147" s="415" t="e">
        <f>IF(scheduled_no_payments=1,"",SUM($K$28:$K147))</f>
        <v>#VALUE!</v>
      </c>
      <c r="N147" s="420"/>
    </row>
    <row r="148" spans="2:14" ht="16.5" customHeight="1" x14ac:dyDescent="0.45">
      <c r="B148" s="413" t="str">
        <f>IF(AND(Values_Entered,scheduled_no_payments&lt;&gt;1),B147+1,"")</f>
        <v/>
      </c>
      <c r="C148" s="414" t="str">
        <f>IF(Pay_Num&lt;&gt;"",DATE(YEAR(C147)+VLOOKUP(Interval,LoanLookup[#Data],4,FALSE),MONTH(C147)+VLOOKUP(Interval,LoanLookup[#Data],2,FALSE),DAY(C147)+VLOOKUP(Interval,LoanLookup[#Data],3,FALSE)),"")</f>
        <v/>
      </c>
      <c r="D148" s="415" t="str">
        <f t="shared" si="19"/>
        <v/>
      </c>
      <c r="E148" s="416" t="str">
        <f t="shared" si="17"/>
        <v/>
      </c>
      <c r="F148" s="417" t="e">
        <f>IF(scheduled_no_payments=1,"",IF(Sched_Pay+Scheduled_Extra_Payments&lt;Beg_Bal2,Scheduled_Extra_Payments,IF(AND(Pay_Num&lt;&gt;"",Beg_Bal2-Sched_Pay&gt;0),Beg_Bal2-Sched_Pay,IF(Pay_Num&lt;&gt;"",0,""))))</f>
        <v>#VALUE!</v>
      </c>
      <c r="G148" s="417"/>
      <c r="H148" s="417" t="e">
        <f t="shared" si="18"/>
        <v>#VALUE!</v>
      </c>
      <c r="I148" s="415" t="e">
        <f>IF(scheduled_no_payments=1,"",IF(Sched_Pay+Extra_Pay2&lt;Beg_Bal2,Sched_Pay+Extra_Pay2,IF(Pay_Num&lt;&gt;"",Beg_Bal2,"")))</f>
        <v>#VALUE!</v>
      </c>
      <c r="J148" s="415" t="str">
        <f t="shared" si="16"/>
        <v/>
      </c>
      <c r="K148" s="415" t="str">
        <f>IF(Pay_Num&lt;&gt;"",Beg_Bal2*(InterestRate/VLOOKUP(Interval,LoanLookup[],5,FALSE)),"")</f>
        <v/>
      </c>
      <c r="L148" s="415" t="e">
        <f t="shared" si="14"/>
        <v>#VALUE!</v>
      </c>
      <c r="M148" s="415" t="e">
        <f>IF(scheduled_no_payments=1,"",SUM($K$28:$K148))</f>
        <v>#VALUE!</v>
      </c>
      <c r="N148" s="420"/>
    </row>
    <row r="149" spans="2:14" ht="16.5" customHeight="1" x14ac:dyDescent="0.45">
      <c r="B149" s="413"/>
      <c r="C149" s="414"/>
      <c r="D149" s="415"/>
      <c r="E149" s="416"/>
      <c r="F149" s="417"/>
      <c r="G149" s="417"/>
      <c r="H149" s="417"/>
      <c r="I149" s="415"/>
      <c r="J149" s="415"/>
      <c r="K149" s="415"/>
      <c r="L149" s="415"/>
      <c r="M149" s="415"/>
      <c r="N149" s="420"/>
    </row>
    <row r="150" spans="2:14" ht="16.5" customHeight="1" x14ac:dyDescent="0.45">
      <c r="B150" s="413"/>
      <c r="C150" s="414"/>
      <c r="D150" s="415"/>
      <c r="E150" s="416"/>
      <c r="F150" s="417"/>
      <c r="G150" s="417"/>
      <c r="H150" s="417"/>
      <c r="I150" s="415"/>
      <c r="J150" s="415"/>
      <c r="K150" s="415"/>
      <c r="L150" s="415"/>
      <c r="M150" s="415"/>
      <c r="N150" s="420"/>
    </row>
    <row r="151" spans="2:14" ht="16.5" customHeight="1" x14ac:dyDescent="0.45">
      <c r="B151" s="413"/>
      <c r="C151" s="414"/>
      <c r="D151" s="415"/>
      <c r="E151" s="416"/>
      <c r="F151" s="417"/>
      <c r="G151" s="417"/>
      <c r="H151" s="417"/>
      <c r="I151" s="415"/>
      <c r="J151" s="415"/>
      <c r="K151" s="415"/>
      <c r="L151" s="415"/>
      <c r="M151" s="415"/>
      <c r="N151" s="420"/>
    </row>
    <row r="152" spans="2:14" ht="16.5" customHeight="1" x14ac:dyDescent="0.45">
      <c r="B152" s="413"/>
      <c r="C152" s="414"/>
      <c r="D152" s="415"/>
      <c r="E152" s="416"/>
      <c r="F152" s="417"/>
      <c r="G152" s="417"/>
      <c r="H152" s="417"/>
      <c r="I152" s="415"/>
      <c r="J152" s="415"/>
      <c r="K152" s="415"/>
      <c r="L152" s="415"/>
      <c r="M152" s="415"/>
      <c r="N152" s="420"/>
    </row>
    <row r="153" spans="2:14" ht="16.5" customHeight="1" x14ac:dyDescent="0.45">
      <c r="B153" s="413"/>
      <c r="C153" s="414"/>
      <c r="D153" s="415"/>
      <c r="E153" s="416"/>
      <c r="F153" s="417"/>
      <c r="G153" s="417"/>
      <c r="H153" s="417"/>
      <c r="I153" s="415"/>
      <c r="J153" s="415"/>
      <c r="K153" s="415"/>
      <c r="L153" s="415"/>
      <c r="M153" s="415"/>
      <c r="N153" s="420"/>
    </row>
    <row r="154" spans="2:14" ht="16.5" customHeight="1" x14ac:dyDescent="0.45">
      <c r="B154" s="413"/>
      <c r="C154" s="414"/>
      <c r="D154" s="415"/>
      <c r="E154" s="416"/>
      <c r="F154" s="417"/>
      <c r="G154" s="417"/>
      <c r="H154" s="417"/>
      <c r="I154" s="415"/>
      <c r="J154" s="415"/>
      <c r="K154" s="415"/>
      <c r="L154" s="415"/>
      <c r="M154" s="415"/>
      <c r="N154" s="420"/>
    </row>
    <row r="155" spans="2:14" ht="16.5" customHeight="1" x14ac:dyDescent="0.45">
      <c r="B155" s="413"/>
      <c r="C155" s="414"/>
      <c r="D155" s="415"/>
      <c r="E155" s="416"/>
      <c r="F155" s="417"/>
      <c r="G155" s="417"/>
      <c r="H155" s="417"/>
      <c r="I155" s="415"/>
      <c r="J155" s="415"/>
      <c r="K155" s="415"/>
      <c r="L155" s="415"/>
      <c r="M155" s="415"/>
      <c r="N155" s="420"/>
    </row>
    <row r="156" spans="2:14" ht="16.5" customHeight="1" x14ac:dyDescent="0.45">
      <c r="B156" s="413"/>
      <c r="C156" s="414"/>
      <c r="D156" s="415"/>
      <c r="E156" s="416"/>
      <c r="F156" s="417"/>
      <c r="G156" s="417"/>
      <c r="H156" s="417"/>
      <c r="I156" s="415"/>
      <c r="J156" s="415"/>
      <c r="K156" s="415"/>
      <c r="L156" s="415"/>
      <c r="M156" s="415"/>
      <c r="N156" s="420"/>
    </row>
    <row r="157" spans="2:14" ht="16.5" customHeight="1" x14ac:dyDescent="0.45">
      <c r="B157" s="413"/>
      <c r="C157" s="414"/>
      <c r="D157" s="415"/>
      <c r="E157" s="416"/>
      <c r="F157" s="417"/>
      <c r="G157" s="417"/>
      <c r="H157" s="417"/>
      <c r="I157" s="415"/>
      <c r="J157" s="415"/>
      <c r="K157" s="415"/>
      <c r="L157" s="415"/>
      <c r="M157" s="415"/>
      <c r="N157" s="420"/>
    </row>
    <row r="158" spans="2:14" ht="16.5" customHeight="1" x14ac:dyDescent="0.45">
      <c r="B158" s="413"/>
      <c r="C158" s="414"/>
      <c r="D158" s="415"/>
      <c r="E158" s="416"/>
      <c r="F158" s="417"/>
      <c r="G158" s="417"/>
      <c r="H158" s="417"/>
      <c r="I158" s="415"/>
      <c r="J158" s="415"/>
      <c r="K158" s="415"/>
      <c r="L158" s="415"/>
      <c r="M158" s="415"/>
      <c r="N158" s="420"/>
    </row>
    <row r="159" spans="2:14" ht="16.5" customHeight="1" x14ac:dyDescent="0.45">
      <c r="B159" s="413"/>
      <c r="C159" s="414"/>
      <c r="D159" s="415"/>
      <c r="E159" s="416"/>
      <c r="F159" s="417"/>
      <c r="G159" s="417"/>
      <c r="H159" s="417"/>
      <c r="I159" s="415"/>
      <c r="J159" s="415"/>
      <c r="K159" s="415"/>
      <c r="L159" s="415"/>
      <c r="M159" s="415"/>
      <c r="N159" s="420"/>
    </row>
    <row r="160" spans="2:14" ht="16.5" customHeight="1" x14ac:dyDescent="0.45">
      <c r="B160" s="413"/>
      <c r="C160" s="414"/>
      <c r="D160" s="415"/>
      <c r="E160" s="416"/>
      <c r="F160" s="417"/>
      <c r="G160" s="417"/>
      <c r="H160" s="417"/>
      <c r="I160" s="415"/>
      <c r="J160" s="415"/>
      <c r="K160" s="415"/>
      <c r="L160" s="415"/>
      <c r="M160" s="415"/>
      <c r="N160" s="420"/>
    </row>
    <row r="161" spans="2:14" ht="16.5" customHeight="1" x14ac:dyDescent="0.45">
      <c r="B161" s="413"/>
      <c r="C161" s="414"/>
      <c r="D161" s="415"/>
      <c r="E161" s="416"/>
      <c r="F161" s="417"/>
      <c r="G161" s="417"/>
      <c r="H161" s="417"/>
      <c r="I161" s="415"/>
      <c r="J161" s="415"/>
      <c r="K161" s="415"/>
      <c r="L161" s="415"/>
      <c r="M161" s="415"/>
      <c r="N161" s="420"/>
    </row>
    <row r="162" spans="2:14" ht="16.5" customHeight="1" x14ac:dyDescent="0.45">
      <c r="B162" s="413"/>
      <c r="C162" s="414"/>
      <c r="D162" s="415"/>
      <c r="E162" s="416"/>
      <c r="F162" s="417"/>
      <c r="G162" s="417"/>
      <c r="H162" s="417"/>
      <c r="I162" s="415"/>
      <c r="J162" s="415"/>
      <c r="K162" s="415"/>
      <c r="L162" s="415"/>
      <c r="M162" s="415"/>
      <c r="N162" s="420"/>
    </row>
    <row r="163" spans="2:14" ht="16.5" customHeight="1" x14ac:dyDescent="0.45">
      <c r="B163" s="413"/>
      <c r="C163" s="414"/>
      <c r="D163" s="415"/>
      <c r="E163" s="416"/>
      <c r="F163" s="417"/>
      <c r="G163" s="417"/>
      <c r="H163" s="417"/>
      <c r="I163" s="415"/>
      <c r="J163" s="415"/>
      <c r="K163" s="415"/>
      <c r="L163" s="415"/>
      <c r="M163" s="415"/>
      <c r="N163" s="420"/>
    </row>
    <row r="164" spans="2:14" ht="16.5" customHeight="1" x14ac:dyDescent="0.45">
      <c r="B164" s="413"/>
      <c r="C164" s="414"/>
      <c r="D164" s="415"/>
      <c r="E164" s="416"/>
      <c r="F164" s="417"/>
      <c r="G164" s="417"/>
      <c r="H164" s="417"/>
      <c r="I164" s="415"/>
      <c r="J164" s="415"/>
      <c r="K164" s="415"/>
      <c r="L164" s="415"/>
      <c r="M164" s="415"/>
      <c r="N164" s="420"/>
    </row>
    <row r="165" spans="2:14" ht="16.5" customHeight="1" x14ac:dyDescent="0.45">
      <c r="B165" s="413"/>
      <c r="C165" s="414"/>
      <c r="D165" s="415"/>
      <c r="E165" s="416"/>
      <c r="F165" s="417"/>
      <c r="G165" s="417"/>
      <c r="H165" s="417"/>
      <c r="I165" s="415"/>
      <c r="J165" s="415"/>
      <c r="K165" s="415"/>
      <c r="L165" s="415"/>
      <c r="M165" s="415"/>
      <c r="N165" s="420"/>
    </row>
    <row r="166" spans="2:14" ht="16.5" customHeight="1" x14ac:dyDescent="0.45">
      <c r="B166" s="413"/>
      <c r="C166" s="414"/>
      <c r="D166" s="415"/>
      <c r="E166" s="416"/>
      <c r="F166" s="417"/>
      <c r="G166" s="417"/>
      <c r="H166" s="417"/>
      <c r="I166" s="415"/>
      <c r="J166" s="415"/>
      <c r="K166" s="415"/>
      <c r="L166" s="415"/>
      <c r="M166" s="415"/>
      <c r="N166" s="420"/>
    </row>
    <row r="167" spans="2:14" ht="16.5" customHeight="1" x14ac:dyDescent="0.45">
      <c r="B167" s="413"/>
      <c r="C167" s="414"/>
      <c r="D167" s="415"/>
      <c r="E167" s="416"/>
      <c r="F167" s="417"/>
      <c r="G167" s="417"/>
      <c r="H167" s="417"/>
      <c r="I167" s="415"/>
      <c r="J167" s="415"/>
      <c r="K167" s="415"/>
      <c r="L167" s="415"/>
      <c r="M167" s="415"/>
      <c r="N167" s="420"/>
    </row>
    <row r="168" spans="2:14" ht="16.5" customHeight="1" x14ac:dyDescent="0.45">
      <c r="B168" s="413"/>
      <c r="C168" s="414"/>
      <c r="D168" s="415"/>
      <c r="E168" s="416"/>
      <c r="F168" s="417"/>
      <c r="G168" s="417"/>
      <c r="H168" s="417"/>
      <c r="I168" s="415"/>
      <c r="J168" s="415"/>
      <c r="K168" s="415"/>
      <c r="L168" s="415"/>
      <c r="M168" s="415"/>
      <c r="N168" s="420"/>
    </row>
    <row r="169" spans="2:14" ht="16.5" customHeight="1" x14ac:dyDescent="0.45">
      <c r="B169" s="413"/>
      <c r="C169" s="414"/>
      <c r="D169" s="415"/>
      <c r="E169" s="416"/>
      <c r="F169" s="417"/>
      <c r="G169" s="417"/>
      <c r="H169" s="417"/>
      <c r="I169" s="415"/>
      <c r="J169" s="415"/>
      <c r="K169" s="415"/>
      <c r="L169" s="415"/>
      <c r="M169" s="415"/>
      <c r="N169" s="420"/>
    </row>
    <row r="170" spans="2:14" ht="16.5" customHeight="1" x14ac:dyDescent="0.45">
      <c r="B170" s="413"/>
      <c r="C170" s="414"/>
      <c r="D170" s="415"/>
      <c r="E170" s="416"/>
      <c r="F170" s="417"/>
      <c r="G170" s="417"/>
      <c r="H170" s="417"/>
      <c r="I170" s="415"/>
      <c r="J170" s="415"/>
      <c r="K170" s="415"/>
      <c r="L170" s="415"/>
      <c r="M170" s="415"/>
      <c r="N170" s="420"/>
    </row>
    <row r="171" spans="2:14" ht="16.5" customHeight="1" x14ac:dyDescent="0.45">
      <c r="B171" s="413"/>
      <c r="C171" s="414"/>
      <c r="D171" s="415"/>
      <c r="E171" s="416"/>
      <c r="F171" s="417"/>
      <c r="G171" s="417"/>
      <c r="H171" s="417"/>
      <c r="I171" s="415"/>
      <c r="J171" s="415"/>
      <c r="K171" s="415"/>
      <c r="L171" s="415"/>
      <c r="M171" s="415"/>
      <c r="N171" s="420"/>
    </row>
    <row r="172" spans="2:14" ht="16.5" customHeight="1" x14ac:dyDescent="0.45">
      <c r="B172" s="413"/>
      <c r="C172" s="414"/>
      <c r="D172" s="415"/>
      <c r="E172" s="416"/>
      <c r="F172" s="417"/>
      <c r="G172" s="417"/>
      <c r="H172" s="417"/>
      <c r="I172" s="415"/>
      <c r="J172" s="415"/>
      <c r="K172" s="415"/>
      <c r="L172" s="415"/>
      <c r="M172" s="415"/>
      <c r="N172" s="420"/>
    </row>
    <row r="173" spans="2:14" ht="16.5" customHeight="1" x14ac:dyDescent="0.45">
      <c r="B173" s="413"/>
      <c r="C173" s="414"/>
      <c r="D173" s="415"/>
      <c r="E173" s="416"/>
      <c r="F173" s="417"/>
      <c r="G173" s="417"/>
      <c r="H173" s="417"/>
      <c r="I173" s="415"/>
      <c r="J173" s="415"/>
      <c r="K173" s="415"/>
      <c r="L173" s="415"/>
      <c r="M173" s="415"/>
      <c r="N173" s="420"/>
    </row>
    <row r="174" spans="2:14" ht="16.5" customHeight="1" x14ac:dyDescent="0.45">
      <c r="B174" s="413"/>
      <c r="C174" s="414"/>
      <c r="D174" s="415"/>
      <c r="E174" s="416"/>
      <c r="F174" s="417"/>
      <c r="G174" s="417"/>
      <c r="H174" s="417"/>
      <c r="I174" s="415"/>
      <c r="J174" s="415"/>
      <c r="K174" s="415"/>
      <c r="L174" s="415"/>
      <c r="M174" s="415"/>
      <c r="N174" s="420"/>
    </row>
    <row r="175" spans="2:14" ht="16.5" customHeight="1" x14ac:dyDescent="0.45">
      <c r="B175" s="413"/>
      <c r="C175" s="414"/>
      <c r="D175" s="415"/>
      <c r="E175" s="416"/>
      <c r="F175" s="417"/>
      <c r="G175" s="417"/>
      <c r="H175" s="417"/>
      <c r="I175" s="415"/>
      <c r="J175" s="415"/>
      <c r="K175" s="415"/>
      <c r="L175" s="415"/>
      <c r="M175" s="415"/>
      <c r="N175" s="420"/>
    </row>
    <row r="176" spans="2:14" ht="16.5" customHeight="1" x14ac:dyDescent="0.45">
      <c r="B176" s="413"/>
      <c r="C176" s="414"/>
      <c r="D176" s="415"/>
      <c r="E176" s="416"/>
      <c r="F176" s="417"/>
      <c r="G176" s="417"/>
      <c r="H176" s="417"/>
      <c r="I176" s="415"/>
      <c r="J176" s="415"/>
      <c r="K176" s="415"/>
      <c r="L176" s="415"/>
      <c r="M176" s="415"/>
      <c r="N176" s="420"/>
    </row>
    <row r="177" spans="2:14" ht="16.5" customHeight="1" x14ac:dyDescent="0.45">
      <c r="B177" s="413"/>
      <c r="C177" s="414"/>
      <c r="D177" s="415"/>
      <c r="E177" s="416"/>
      <c r="F177" s="417"/>
      <c r="G177" s="417"/>
      <c r="H177" s="417"/>
      <c r="I177" s="415"/>
      <c r="J177" s="415"/>
      <c r="K177" s="415"/>
      <c r="L177" s="415"/>
      <c r="M177" s="415"/>
      <c r="N177" s="420"/>
    </row>
    <row r="178" spans="2:14" ht="16.5" customHeight="1" x14ac:dyDescent="0.45">
      <c r="B178" s="413"/>
      <c r="C178" s="414"/>
      <c r="D178" s="415"/>
      <c r="E178" s="416"/>
      <c r="F178" s="417"/>
      <c r="G178" s="417"/>
      <c r="H178" s="417"/>
      <c r="I178" s="415"/>
      <c r="J178" s="415"/>
      <c r="K178" s="415"/>
      <c r="L178" s="415"/>
      <c r="M178" s="415"/>
      <c r="N178" s="420"/>
    </row>
    <row r="179" spans="2:14" ht="16.5" customHeight="1" x14ac:dyDescent="0.45">
      <c r="B179" s="413"/>
      <c r="C179" s="414"/>
      <c r="D179" s="415"/>
      <c r="E179" s="416"/>
      <c r="F179" s="417"/>
      <c r="G179" s="417"/>
      <c r="H179" s="417"/>
      <c r="I179" s="415"/>
      <c r="J179" s="415"/>
      <c r="K179" s="415"/>
      <c r="L179" s="415"/>
      <c r="M179" s="415"/>
      <c r="N179" s="420"/>
    </row>
    <row r="180" spans="2:14" ht="16.5" customHeight="1" x14ac:dyDescent="0.45">
      <c r="B180" s="413"/>
      <c r="C180" s="414"/>
      <c r="D180" s="415"/>
      <c r="E180" s="416"/>
      <c r="F180" s="417"/>
      <c r="G180" s="417"/>
      <c r="H180" s="417"/>
      <c r="I180" s="415"/>
      <c r="J180" s="415"/>
      <c r="K180" s="415"/>
      <c r="L180" s="415"/>
      <c r="M180" s="415"/>
      <c r="N180" s="420"/>
    </row>
    <row r="181" spans="2:14" ht="16.5" customHeight="1" x14ac:dyDescent="0.45">
      <c r="B181" s="413"/>
      <c r="C181" s="414"/>
      <c r="D181" s="415"/>
      <c r="E181" s="416"/>
      <c r="F181" s="417"/>
      <c r="G181" s="417"/>
      <c r="H181" s="417"/>
      <c r="I181" s="415"/>
      <c r="J181" s="415"/>
      <c r="K181" s="415"/>
      <c r="L181" s="415"/>
      <c r="M181" s="415"/>
      <c r="N181" s="420"/>
    </row>
    <row r="182" spans="2:14" ht="16.5" customHeight="1" x14ac:dyDescent="0.45">
      <c r="B182" s="413"/>
      <c r="C182" s="414"/>
      <c r="D182" s="415"/>
      <c r="E182" s="416"/>
      <c r="F182" s="417"/>
      <c r="G182" s="417"/>
      <c r="H182" s="417"/>
      <c r="I182" s="415"/>
      <c r="J182" s="415"/>
      <c r="K182" s="415"/>
      <c r="L182" s="415"/>
      <c r="M182" s="415"/>
      <c r="N182" s="420"/>
    </row>
    <row r="183" spans="2:14" ht="16.5" customHeight="1" x14ac:dyDescent="0.45">
      <c r="B183" s="413"/>
      <c r="C183" s="414"/>
      <c r="D183" s="415"/>
      <c r="E183" s="416"/>
      <c r="F183" s="417"/>
      <c r="G183" s="417"/>
      <c r="H183" s="417"/>
      <c r="I183" s="415"/>
      <c r="J183" s="415"/>
      <c r="K183" s="415"/>
      <c r="L183" s="415"/>
      <c r="M183" s="415"/>
      <c r="N183" s="420"/>
    </row>
    <row r="184" spans="2:14" ht="16.5" customHeight="1" x14ac:dyDescent="0.45">
      <c r="B184" s="413"/>
      <c r="C184" s="414"/>
      <c r="D184" s="415"/>
      <c r="E184" s="416"/>
      <c r="F184" s="417"/>
      <c r="G184" s="417"/>
      <c r="H184" s="417"/>
      <c r="I184" s="415"/>
      <c r="J184" s="415"/>
      <c r="K184" s="415"/>
      <c r="L184" s="415"/>
      <c r="M184" s="415"/>
      <c r="N184" s="420"/>
    </row>
    <row r="185" spans="2:14" ht="16.5" customHeight="1" x14ac:dyDescent="0.45">
      <c r="B185" s="413"/>
      <c r="C185" s="414"/>
      <c r="D185" s="415"/>
      <c r="E185" s="416"/>
      <c r="F185" s="417"/>
      <c r="G185" s="417"/>
      <c r="H185" s="417"/>
      <c r="I185" s="415"/>
      <c r="J185" s="415"/>
      <c r="K185" s="415"/>
      <c r="L185" s="415"/>
      <c r="M185" s="415"/>
      <c r="N185" s="420"/>
    </row>
    <row r="186" spans="2:14" ht="16.5" customHeight="1" x14ac:dyDescent="0.45">
      <c r="B186" s="413"/>
      <c r="C186" s="414"/>
      <c r="D186" s="415"/>
      <c r="E186" s="416"/>
      <c r="F186" s="417"/>
      <c r="G186" s="417"/>
      <c r="H186" s="417"/>
      <c r="I186" s="415"/>
      <c r="J186" s="415"/>
      <c r="K186" s="415"/>
      <c r="L186" s="415"/>
      <c r="M186" s="415"/>
      <c r="N186" s="420"/>
    </row>
    <row r="187" spans="2:14" ht="16.5" customHeight="1" x14ac:dyDescent="0.45">
      <c r="B187" s="413"/>
      <c r="C187" s="414"/>
      <c r="D187" s="415"/>
      <c r="E187" s="416"/>
      <c r="F187" s="417"/>
      <c r="G187" s="417"/>
      <c r="H187" s="417"/>
      <c r="I187" s="415"/>
      <c r="J187" s="415"/>
      <c r="K187" s="415"/>
      <c r="L187" s="415"/>
      <c r="M187" s="415"/>
      <c r="N187" s="420"/>
    </row>
    <row r="188" spans="2:14" ht="16.5" customHeight="1" x14ac:dyDescent="0.45">
      <c r="B188" s="413"/>
      <c r="C188" s="414"/>
      <c r="D188" s="415"/>
      <c r="E188" s="416"/>
      <c r="F188" s="417"/>
      <c r="G188" s="417"/>
      <c r="H188" s="417"/>
      <c r="I188" s="415"/>
      <c r="J188" s="415"/>
      <c r="K188" s="415"/>
      <c r="L188" s="415"/>
      <c r="M188" s="415"/>
      <c r="N188" s="420"/>
    </row>
    <row r="189" spans="2:14" ht="16.5" customHeight="1" x14ac:dyDescent="0.45">
      <c r="B189" s="413"/>
      <c r="C189" s="414"/>
      <c r="D189" s="415"/>
      <c r="E189" s="416"/>
      <c r="F189" s="417"/>
      <c r="G189" s="417"/>
      <c r="H189" s="417"/>
      <c r="I189" s="415"/>
      <c r="J189" s="415"/>
      <c r="K189" s="415"/>
      <c r="L189" s="415"/>
      <c r="M189" s="415"/>
      <c r="N189" s="420"/>
    </row>
    <row r="190" spans="2:14" ht="16.5" customHeight="1" x14ac:dyDescent="0.45">
      <c r="B190" s="413"/>
      <c r="C190" s="414"/>
      <c r="D190" s="415"/>
      <c r="E190" s="416"/>
      <c r="F190" s="417"/>
      <c r="G190" s="417"/>
      <c r="H190" s="417"/>
      <c r="I190" s="415"/>
      <c r="J190" s="415"/>
      <c r="K190" s="415"/>
      <c r="L190" s="415"/>
      <c r="M190" s="415"/>
      <c r="N190" s="420"/>
    </row>
    <row r="191" spans="2:14" ht="16.5" customHeight="1" x14ac:dyDescent="0.45">
      <c r="B191" s="413"/>
      <c r="C191" s="414"/>
      <c r="D191" s="415"/>
      <c r="E191" s="416"/>
      <c r="F191" s="417"/>
      <c r="G191" s="417"/>
      <c r="H191" s="417"/>
      <c r="I191" s="415"/>
      <c r="J191" s="415"/>
      <c r="K191" s="415"/>
      <c r="L191" s="415"/>
      <c r="M191" s="415"/>
      <c r="N191" s="420"/>
    </row>
    <row r="192" spans="2:14" ht="16.5" customHeight="1" x14ac:dyDescent="0.45">
      <c r="B192" s="413"/>
      <c r="C192" s="414"/>
      <c r="D192" s="415"/>
      <c r="E192" s="416"/>
      <c r="F192" s="417"/>
      <c r="G192" s="417"/>
      <c r="H192" s="417"/>
      <c r="I192" s="415"/>
      <c r="J192" s="415"/>
      <c r="K192" s="415"/>
      <c r="L192" s="415"/>
      <c r="M192" s="415"/>
      <c r="N192" s="420"/>
    </row>
    <row r="193" spans="2:14" ht="16.5" customHeight="1" x14ac:dyDescent="0.45">
      <c r="B193" s="413"/>
      <c r="C193" s="414"/>
      <c r="D193" s="415"/>
      <c r="E193" s="416"/>
      <c r="F193" s="417"/>
      <c r="G193" s="417"/>
      <c r="H193" s="417"/>
      <c r="I193" s="415"/>
      <c r="J193" s="415"/>
      <c r="K193" s="415"/>
      <c r="L193" s="415"/>
      <c r="M193" s="415"/>
      <c r="N193" s="420"/>
    </row>
    <row r="194" spans="2:14" ht="16.5" customHeight="1" x14ac:dyDescent="0.45">
      <c r="B194" s="413"/>
      <c r="C194" s="414"/>
      <c r="D194" s="415"/>
      <c r="E194" s="416"/>
      <c r="F194" s="417"/>
      <c r="G194" s="417"/>
      <c r="H194" s="417"/>
      <c r="I194" s="415"/>
      <c r="J194" s="415"/>
      <c r="K194" s="415"/>
      <c r="L194" s="415"/>
      <c r="M194" s="415"/>
      <c r="N194" s="420"/>
    </row>
    <row r="195" spans="2:14" ht="16.5" customHeight="1" x14ac:dyDescent="0.45">
      <c r="B195" s="413"/>
      <c r="C195" s="414"/>
      <c r="D195" s="415"/>
      <c r="E195" s="416"/>
      <c r="F195" s="417"/>
      <c r="G195" s="417"/>
      <c r="H195" s="417"/>
      <c r="I195" s="415"/>
      <c r="J195" s="415"/>
      <c r="K195" s="415"/>
      <c r="L195" s="415"/>
      <c r="M195" s="415"/>
      <c r="N195" s="420"/>
    </row>
    <row r="196" spans="2:14" ht="16.5" customHeight="1" x14ac:dyDescent="0.45">
      <c r="B196" s="413"/>
      <c r="C196" s="414"/>
      <c r="D196" s="415"/>
      <c r="E196" s="416"/>
      <c r="F196" s="417"/>
      <c r="G196" s="417"/>
      <c r="H196" s="417"/>
      <c r="I196" s="415"/>
      <c r="J196" s="415"/>
      <c r="K196" s="415"/>
      <c r="L196" s="415"/>
      <c r="M196" s="415"/>
      <c r="N196" s="420"/>
    </row>
    <row r="197" spans="2:14" ht="16.5" customHeight="1" x14ac:dyDescent="0.45">
      <c r="B197" s="413"/>
      <c r="C197" s="414"/>
      <c r="D197" s="415"/>
      <c r="E197" s="416"/>
      <c r="F197" s="417"/>
      <c r="G197" s="417"/>
      <c r="H197" s="417"/>
      <c r="I197" s="415"/>
      <c r="J197" s="415"/>
      <c r="K197" s="415"/>
      <c r="L197" s="415"/>
      <c r="M197" s="415"/>
      <c r="N197" s="420"/>
    </row>
    <row r="198" spans="2:14" ht="16.5" customHeight="1" x14ac:dyDescent="0.45">
      <c r="B198" s="413"/>
      <c r="C198" s="414"/>
      <c r="D198" s="415"/>
      <c r="E198" s="416"/>
      <c r="F198" s="417"/>
      <c r="G198" s="417"/>
      <c r="H198" s="417"/>
      <c r="I198" s="415"/>
      <c r="J198" s="415"/>
      <c r="K198" s="415"/>
      <c r="L198" s="415"/>
      <c r="M198" s="415"/>
      <c r="N198" s="420"/>
    </row>
    <row r="199" spans="2:14" ht="16.5" customHeight="1" x14ac:dyDescent="0.45">
      <c r="B199" s="413"/>
      <c r="C199" s="414"/>
      <c r="D199" s="415"/>
      <c r="E199" s="416"/>
      <c r="F199" s="417"/>
      <c r="G199" s="417"/>
      <c r="H199" s="417"/>
      <c r="I199" s="415"/>
      <c r="J199" s="415"/>
      <c r="K199" s="415"/>
      <c r="L199" s="415"/>
      <c r="M199" s="415"/>
      <c r="N199" s="420"/>
    </row>
    <row r="200" spans="2:14" ht="16.5" customHeight="1" x14ac:dyDescent="0.45">
      <c r="B200" s="413"/>
      <c r="C200" s="414"/>
      <c r="D200" s="415"/>
      <c r="E200" s="416"/>
      <c r="F200" s="417"/>
      <c r="G200" s="417"/>
      <c r="H200" s="417"/>
      <c r="I200" s="415"/>
      <c r="J200" s="415"/>
      <c r="K200" s="415"/>
      <c r="L200" s="415"/>
      <c r="M200" s="415"/>
      <c r="N200" s="420"/>
    </row>
    <row r="201" spans="2:14" ht="16.5" customHeight="1" x14ac:dyDescent="0.45">
      <c r="B201" s="413"/>
      <c r="C201" s="414"/>
      <c r="D201" s="415"/>
      <c r="E201" s="416"/>
      <c r="F201" s="417"/>
      <c r="G201" s="417"/>
      <c r="H201" s="417"/>
      <c r="I201" s="415"/>
      <c r="J201" s="415"/>
      <c r="K201" s="415"/>
      <c r="L201" s="415"/>
      <c r="M201" s="415"/>
      <c r="N201" s="420"/>
    </row>
    <row r="202" spans="2:14" ht="16.5" customHeight="1" x14ac:dyDescent="0.45">
      <c r="B202" s="413"/>
      <c r="C202" s="414"/>
      <c r="D202" s="415"/>
      <c r="E202" s="416"/>
      <c r="F202" s="417"/>
      <c r="G202" s="417"/>
      <c r="H202" s="417"/>
      <c r="I202" s="415"/>
      <c r="J202" s="415"/>
      <c r="K202" s="415"/>
      <c r="L202" s="415"/>
      <c r="M202" s="415"/>
      <c r="N202" s="420"/>
    </row>
    <row r="203" spans="2:14" ht="16.5" customHeight="1" x14ac:dyDescent="0.45">
      <c r="B203" s="413"/>
      <c r="C203" s="414"/>
      <c r="D203" s="415"/>
      <c r="E203" s="416"/>
      <c r="F203" s="417"/>
      <c r="G203" s="417"/>
      <c r="H203" s="417"/>
      <c r="I203" s="415"/>
      <c r="J203" s="415"/>
      <c r="K203" s="415"/>
      <c r="L203" s="415"/>
      <c r="M203" s="415"/>
      <c r="N203" s="420"/>
    </row>
    <row r="204" spans="2:14" ht="16.5" customHeight="1" x14ac:dyDescent="0.45">
      <c r="B204" s="413"/>
      <c r="C204" s="414"/>
      <c r="D204" s="415"/>
      <c r="E204" s="416"/>
      <c r="F204" s="417"/>
      <c r="G204" s="417"/>
      <c r="H204" s="417"/>
      <c r="I204" s="415"/>
      <c r="J204" s="415"/>
      <c r="K204" s="415"/>
      <c r="L204" s="415"/>
      <c r="M204" s="415"/>
      <c r="N204" s="420"/>
    </row>
    <row r="205" spans="2:14" ht="16.5" customHeight="1" x14ac:dyDescent="0.45">
      <c r="B205" s="413"/>
      <c r="C205" s="414"/>
      <c r="D205" s="415"/>
      <c r="E205" s="416"/>
      <c r="F205" s="417"/>
      <c r="G205" s="417"/>
      <c r="H205" s="417"/>
      <c r="I205" s="415"/>
      <c r="J205" s="415"/>
      <c r="K205" s="415"/>
      <c r="L205" s="415"/>
      <c r="M205" s="415"/>
      <c r="N205" s="420"/>
    </row>
    <row r="206" spans="2:14" ht="16.5" customHeight="1" x14ac:dyDescent="0.45">
      <c r="B206" s="413"/>
      <c r="C206" s="414"/>
      <c r="D206" s="415"/>
      <c r="E206" s="416"/>
      <c r="F206" s="417"/>
      <c r="G206" s="417"/>
      <c r="H206" s="417"/>
      <c r="I206" s="415"/>
      <c r="J206" s="415"/>
      <c r="K206" s="415"/>
      <c r="L206" s="415"/>
      <c r="M206" s="415"/>
      <c r="N206" s="420"/>
    </row>
    <row r="207" spans="2:14" ht="16.5" customHeight="1" x14ac:dyDescent="0.45">
      <c r="B207" s="413"/>
      <c r="C207" s="414"/>
      <c r="D207" s="415"/>
      <c r="E207" s="416"/>
      <c r="F207" s="417"/>
      <c r="G207" s="417"/>
      <c r="H207" s="417"/>
      <c r="I207" s="415"/>
      <c r="J207" s="415"/>
      <c r="K207" s="415"/>
      <c r="L207" s="415"/>
      <c r="M207" s="415"/>
      <c r="N207" s="420"/>
    </row>
    <row r="208" spans="2:14" ht="16.5" customHeight="1" x14ac:dyDescent="0.45">
      <c r="B208" s="413"/>
      <c r="C208" s="414"/>
      <c r="D208" s="415"/>
      <c r="E208" s="416"/>
      <c r="F208" s="417"/>
      <c r="G208" s="417"/>
      <c r="H208" s="417"/>
      <c r="I208" s="415"/>
      <c r="J208" s="415"/>
      <c r="K208" s="415"/>
      <c r="L208" s="415"/>
      <c r="M208" s="415"/>
      <c r="N208" s="420"/>
    </row>
    <row r="209" spans="2:14" ht="16.5" customHeight="1" x14ac:dyDescent="0.45">
      <c r="B209" s="413"/>
      <c r="C209" s="414"/>
      <c r="D209" s="415"/>
      <c r="E209" s="416"/>
      <c r="F209" s="417"/>
      <c r="G209" s="417"/>
      <c r="H209" s="417"/>
      <c r="I209" s="415"/>
      <c r="J209" s="415"/>
      <c r="K209" s="415"/>
      <c r="L209" s="415"/>
      <c r="M209" s="415"/>
      <c r="N209" s="420"/>
    </row>
    <row r="210" spans="2:14" ht="16.5" customHeight="1" x14ac:dyDescent="0.45">
      <c r="B210" s="413"/>
      <c r="C210" s="414"/>
      <c r="D210" s="415"/>
      <c r="E210" s="416"/>
      <c r="F210" s="417"/>
      <c r="G210" s="417"/>
      <c r="H210" s="417"/>
      <c r="I210" s="415"/>
      <c r="J210" s="415"/>
      <c r="K210" s="415"/>
      <c r="L210" s="415"/>
      <c r="M210" s="415"/>
      <c r="N210" s="420"/>
    </row>
    <row r="211" spans="2:14" ht="16.5" customHeight="1" x14ac:dyDescent="0.45">
      <c r="B211" s="413"/>
      <c r="C211" s="414"/>
      <c r="D211" s="415"/>
      <c r="E211" s="416"/>
      <c r="F211" s="417"/>
      <c r="G211" s="417"/>
      <c r="H211" s="417"/>
      <c r="I211" s="415"/>
      <c r="J211" s="415"/>
      <c r="K211" s="415"/>
      <c r="L211" s="415"/>
      <c r="M211" s="415"/>
      <c r="N211" s="420"/>
    </row>
    <row r="212" spans="2:14" ht="16.5" customHeight="1" x14ac:dyDescent="0.45">
      <c r="B212" s="413"/>
      <c r="C212" s="414"/>
      <c r="D212" s="415"/>
      <c r="E212" s="416"/>
      <c r="F212" s="417"/>
      <c r="G212" s="417"/>
      <c r="H212" s="417"/>
      <c r="I212" s="415"/>
      <c r="J212" s="415"/>
      <c r="K212" s="415"/>
      <c r="L212" s="415"/>
      <c r="M212" s="415"/>
      <c r="N212" s="420"/>
    </row>
    <row r="213" spans="2:14" ht="16.5" customHeight="1" x14ac:dyDescent="0.45">
      <c r="B213" s="413"/>
      <c r="C213" s="414"/>
      <c r="D213" s="415"/>
      <c r="E213" s="416"/>
      <c r="F213" s="417"/>
      <c r="G213" s="417"/>
      <c r="H213" s="417"/>
      <c r="I213" s="415"/>
      <c r="J213" s="415"/>
      <c r="K213" s="415"/>
      <c r="L213" s="415"/>
      <c r="M213" s="415"/>
      <c r="N213" s="420"/>
    </row>
    <row r="214" spans="2:14" ht="16.5" customHeight="1" x14ac:dyDescent="0.45">
      <c r="B214" s="413"/>
      <c r="C214" s="414"/>
      <c r="D214" s="415"/>
      <c r="E214" s="416"/>
      <c r="F214" s="417"/>
      <c r="G214" s="417"/>
      <c r="H214" s="417"/>
      <c r="I214" s="415"/>
      <c r="J214" s="415"/>
      <c r="K214" s="415"/>
      <c r="L214" s="415"/>
      <c r="M214" s="415"/>
      <c r="N214" s="420"/>
    </row>
    <row r="215" spans="2:14" ht="16.5" customHeight="1" x14ac:dyDescent="0.45">
      <c r="B215" s="413"/>
      <c r="C215" s="414"/>
      <c r="D215" s="415"/>
      <c r="E215" s="416"/>
      <c r="F215" s="417"/>
      <c r="G215" s="417"/>
      <c r="H215" s="417"/>
      <c r="I215" s="415"/>
      <c r="J215" s="415"/>
      <c r="K215" s="415"/>
      <c r="L215" s="415"/>
      <c r="M215" s="415"/>
      <c r="N215" s="420"/>
    </row>
    <row r="216" spans="2:14" ht="16.5" customHeight="1" x14ac:dyDescent="0.45">
      <c r="B216" s="413"/>
      <c r="C216" s="414"/>
      <c r="D216" s="415"/>
      <c r="E216" s="416"/>
      <c r="F216" s="417"/>
      <c r="G216" s="417"/>
      <c r="H216" s="417"/>
      <c r="I216" s="415"/>
      <c r="J216" s="415"/>
      <c r="K216" s="415"/>
      <c r="L216" s="415"/>
      <c r="M216" s="415"/>
      <c r="N216" s="420"/>
    </row>
    <row r="217" spans="2:14" ht="16.5" customHeight="1" x14ac:dyDescent="0.45">
      <c r="B217" s="413"/>
      <c r="C217" s="414"/>
      <c r="D217" s="415"/>
      <c r="E217" s="416"/>
      <c r="F217" s="417"/>
      <c r="G217" s="417"/>
      <c r="H217" s="417"/>
      <c r="I217" s="415"/>
      <c r="J217" s="415"/>
      <c r="K217" s="415"/>
      <c r="L217" s="415"/>
      <c r="M217" s="415"/>
      <c r="N217" s="420"/>
    </row>
    <row r="218" spans="2:14" ht="16.5" customHeight="1" x14ac:dyDescent="0.45">
      <c r="B218" s="413"/>
      <c r="C218" s="414"/>
      <c r="D218" s="415"/>
      <c r="E218" s="416"/>
      <c r="F218" s="417"/>
      <c r="G218" s="417"/>
      <c r="H218" s="417"/>
      <c r="I218" s="415"/>
      <c r="J218" s="415"/>
      <c r="K218" s="415"/>
      <c r="L218" s="415"/>
      <c r="M218" s="415"/>
      <c r="N218" s="420"/>
    </row>
    <row r="219" spans="2:14" ht="16.5" customHeight="1" x14ac:dyDescent="0.45">
      <c r="B219" s="413"/>
      <c r="C219" s="414"/>
      <c r="D219" s="415"/>
      <c r="E219" s="416"/>
      <c r="F219" s="417"/>
      <c r="G219" s="417"/>
      <c r="H219" s="417"/>
      <c r="I219" s="415"/>
      <c r="J219" s="415"/>
      <c r="K219" s="415"/>
      <c r="L219" s="415"/>
      <c r="M219" s="415"/>
      <c r="N219" s="420"/>
    </row>
    <row r="220" spans="2:14" ht="16.5" customHeight="1" x14ac:dyDescent="0.45">
      <c r="B220" s="413"/>
      <c r="C220" s="414"/>
      <c r="D220" s="415"/>
      <c r="E220" s="416"/>
      <c r="F220" s="417"/>
      <c r="G220" s="417"/>
      <c r="H220" s="417"/>
      <c r="I220" s="415"/>
      <c r="J220" s="415"/>
      <c r="K220" s="415"/>
      <c r="L220" s="415"/>
      <c r="M220" s="415"/>
      <c r="N220" s="420"/>
    </row>
    <row r="221" spans="2:14" ht="16.5" customHeight="1" x14ac:dyDescent="0.45">
      <c r="B221" s="413"/>
      <c r="C221" s="414"/>
      <c r="D221" s="415"/>
      <c r="E221" s="416"/>
      <c r="F221" s="417"/>
      <c r="G221" s="417"/>
      <c r="H221" s="417"/>
      <c r="I221" s="415"/>
      <c r="J221" s="415"/>
      <c r="K221" s="415"/>
      <c r="L221" s="415"/>
      <c r="M221" s="415"/>
      <c r="N221" s="420"/>
    </row>
    <row r="222" spans="2:14" ht="16.5" customHeight="1" x14ac:dyDescent="0.45">
      <c r="B222" s="413"/>
      <c r="C222" s="414"/>
      <c r="D222" s="415"/>
      <c r="E222" s="416"/>
      <c r="F222" s="417"/>
      <c r="G222" s="417"/>
      <c r="H222" s="417"/>
      <c r="I222" s="415"/>
      <c r="J222" s="415"/>
      <c r="K222" s="415"/>
      <c r="L222" s="415"/>
      <c r="M222" s="415"/>
      <c r="N222" s="420"/>
    </row>
    <row r="223" spans="2:14" ht="16.5" customHeight="1" x14ac:dyDescent="0.45">
      <c r="B223" s="413"/>
      <c r="C223" s="414"/>
      <c r="D223" s="415"/>
      <c r="E223" s="416"/>
      <c r="F223" s="417"/>
      <c r="G223" s="417"/>
      <c r="H223" s="417"/>
      <c r="I223" s="415"/>
      <c r="J223" s="415"/>
      <c r="K223" s="415"/>
      <c r="L223" s="415"/>
      <c r="M223" s="415"/>
      <c r="N223" s="420"/>
    </row>
    <row r="224" spans="2:14" ht="16.5" customHeight="1" x14ac:dyDescent="0.45">
      <c r="B224" s="413"/>
      <c r="C224" s="414"/>
      <c r="D224" s="415"/>
      <c r="E224" s="416"/>
      <c r="F224" s="417"/>
      <c r="G224" s="417"/>
      <c r="H224" s="417"/>
      <c r="I224" s="415"/>
      <c r="J224" s="415"/>
      <c r="K224" s="415"/>
      <c r="L224" s="415"/>
      <c r="M224" s="415"/>
      <c r="N224" s="420"/>
    </row>
    <row r="225" spans="2:14" ht="16.5" customHeight="1" x14ac:dyDescent="0.45">
      <c r="B225" s="413"/>
      <c r="C225" s="414"/>
      <c r="D225" s="415"/>
      <c r="E225" s="416"/>
      <c r="F225" s="417"/>
      <c r="G225" s="417"/>
      <c r="H225" s="417"/>
      <c r="I225" s="415"/>
      <c r="J225" s="415"/>
      <c r="K225" s="415"/>
      <c r="L225" s="415"/>
      <c r="M225" s="415"/>
      <c r="N225" s="420"/>
    </row>
    <row r="226" spans="2:14" ht="16.5" customHeight="1" x14ac:dyDescent="0.45">
      <c r="B226" s="413"/>
      <c r="C226" s="414"/>
      <c r="D226" s="415"/>
      <c r="E226" s="416"/>
      <c r="F226" s="417"/>
      <c r="G226" s="417"/>
      <c r="H226" s="417"/>
      <c r="I226" s="415"/>
      <c r="J226" s="415"/>
      <c r="K226" s="415"/>
      <c r="L226" s="415"/>
      <c r="M226" s="415"/>
      <c r="N226" s="420"/>
    </row>
    <row r="227" spans="2:14" ht="16.5" customHeight="1" x14ac:dyDescent="0.45">
      <c r="B227" s="413"/>
      <c r="C227" s="414"/>
      <c r="D227" s="415"/>
      <c r="E227" s="416"/>
      <c r="F227" s="417"/>
      <c r="G227" s="417"/>
      <c r="H227" s="417"/>
      <c r="I227" s="415"/>
      <c r="J227" s="415"/>
      <c r="K227" s="415"/>
      <c r="L227" s="415"/>
      <c r="M227" s="415"/>
      <c r="N227" s="420"/>
    </row>
    <row r="228" spans="2:14" ht="16.5" customHeight="1" x14ac:dyDescent="0.45">
      <c r="B228" s="413"/>
      <c r="C228" s="414"/>
      <c r="D228" s="415"/>
      <c r="E228" s="416"/>
      <c r="F228" s="417"/>
      <c r="G228" s="417"/>
      <c r="H228" s="417"/>
      <c r="I228" s="415"/>
      <c r="J228" s="415"/>
      <c r="K228" s="415"/>
      <c r="L228" s="415"/>
      <c r="M228" s="415"/>
      <c r="N228" s="420"/>
    </row>
    <row r="229" spans="2:14" ht="16.5" customHeight="1" x14ac:dyDescent="0.45">
      <c r="B229" s="413"/>
      <c r="C229" s="414"/>
      <c r="D229" s="415"/>
      <c r="E229" s="416"/>
      <c r="F229" s="417"/>
      <c r="G229" s="417"/>
      <c r="H229" s="417"/>
      <c r="I229" s="415"/>
      <c r="J229" s="415"/>
      <c r="K229" s="415"/>
      <c r="L229" s="415"/>
      <c r="M229" s="415"/>
      <c r="N229" s="420"/>
    </row>
    <row r="230" spans="2:14" ht="16.5" customHeight="1" x14ac:dyDescent="0.45">
      <c r="B230" s="413"/>
      <c r="C230" s="414"/>
      <c r="D230" s="415"/>
      <c r="E230" s="416"/>
      <c r="F230" s="417"/>
      <c r="G230" s="417"/>
      <c r="H230" s="417"/>
      <c r="I230" s="415"/>
      <c r="J230" s="415"/>
      <c r="K230" s="415"/>
      <c r="L230" s="415"/>
      <c r="M230" s="415"/>
      <c r="N230" s="420"/>
    </row>
    <row r="231" spans="2:14" ht="16.5" customHeight="1" x14ac:dyDescent="0.45">
      <c r="B231" s="413"/>
      <c r="C231" s="414"/>
      <c r="D231" s="415"/>
      <c r="E231" s="416"/>
      <c r="F231" s="417"/>
      <c r="G231" s="417"/>
      <c r="H231" s="417"/>
      <c r="I231" s="415"/>
      <c r="J231" s="415"/>
      <c r="K231" s="415"/>
      <c r="L231" s="415"/>
      <c r="M231" s="415"/>
      <c r="N231" s="420"/>
    </row>
    <row r="232" spans="2:14" ht="16.5" customHeight="1" x14ac:dyDescent="0.45">
      <c r="B232" s="413"/>
      <c r="C232" s="414"/>
      <c r="D232" s="415"/>
      <c r="E232" s="416"/>
      <c r="F232" s="417"/>
      <c r="G232" s="417"/>
      <c r="H232" s="417"/>
      <c r="I232" s="415"/>
      <c r="J232" s="415"/>
      <c r="K232" s="415"/>
      <c r="L232" s="415"/>
      <c r="M232" s="415"/>
      <c r="N232" s="420"/>
    </row>
    <row r="233" spans="2:14" ht="16.5" customHeight="1" x14ac:dyDescent="0.45">
      <c r="B233" s="413"/>
      <c r="C233" s="414"/>
      <c r="D233" s="415"/>
      <c r="E233" s="416"/>
      <c r="F233" s="417"/>
      <c r="G233" s="417"/>
      <c r="H233" s="417"/>
      <c r="I233" s="415"/>
      <c r="J233" s="415"/>
      <c r="K233" s="415"/>
      <c r="L233" s="415"/>
      <c r="M233" s="415"/>
      <c r="N233" s="420"/>
    </row>
    <row r="234" spans="2:14" ht="16.5" customHeight="1" x14ac:dyDescent="0.45">
      <c r="B234" s="413"/>
      <c r="C234" s="414"/>
      <c r="D234" s="415"/>
      <c r="E234" s="416"/>
      <c r="F234" s="417"/>
      <c r="G234" s="417"/>
      <c r="H234" s="417"/>
      <c r="I234" s="415"/>
      <c r="J234" s="415"/>
      <c r="K234" s="415"/>
      <c r="L234" s="415"/>
      <c r="M234" s="415"/>
      <c r="N234" s="420"/>
    </row>
    <row r="235" spans="2:14" ht="16.5" customHeight="1" x14ac:dyDescent="0.45">
      <c r="B235" s="413"/>
      <c r="C235" s="414"/>
      <c r="D235" s="415"/>
      <c r="E235" s="416"/>
      <c r="F235" s="417"/>
      <c r="G235" s="417"/>
      <c r="H235" s="417"/>
      <c r="I235" s="415"/>
      <c r="J235" s="415"/>
      <c r="K235" s="415"/>
      <c r="L235" s="415"/>
      <c r="M235" s="415"/>
      <c r="N235" s="420"/>
    </row>
    <row r="236" spans="2:14" ht="16.5" customHeight="1" x14ac:dyDescent="0.45">
      <c r="B236" s="413"/>
      <c r="C236" s="414"/>
      <c r="D236" s="415"/>
      <c r="E236" s="416"/>
      <c r="F236" s="417"/>
      <c r="G236" s="417"/>
      <c r="H236" s="417"/>
      <c r="I236" s="415"/>
      <c r="J236" s="415"/>
      <c r="K236" s="415"/>
      <c r="L236" s="415"/>
      <c r="M236" s="415"/>
      <c r="N236" s="420"/>
    </row>
    <row r="237" spans="2:14" ht="16.5" customHeight="1" x14ac:dyDescent="0.45">
      <c r="B237" s="413"/>
      <c r="C237" s="414"/>
      <c r="D237" s="415"/>
      <c r="E237" s="416"/>
      <c r="F237" s="417"/>
      <c r="G237" s="417"/>
      <c r="H237" s="417"/>
      <c r="I237" s="415"/>
      <c r="J237" s="415"/>
      <c r="K237" s="415"/>
      <c r="L237" s="415"/>
      <c r="M237" s="415"/>
      <c r="N237" s="420"/>
    </row>
    <row r="238" spans="2:14" ht="16.5" customHeight="1" x14ac:dyDescent="0.45">
      <c r="B238" s="413"/>
      <c r="C238" s="414"/>
      <c r="D238" s="415"/>
      <c r="E238" s="416"/>
      <c r="F238" s="417"/>
      <c r="G238" s="417"/>
      <c r="H238" s="417"/>
      <c r="I238" s="415"/>
      <c r="J238" s="415"/>
      <c r="K238" s="415"/>
      <c r="L238" s="415"/>
      <c r="M238" s="415"/>
      <c r="N238" s="420"/>
    </row>
    <row r="239" spans="2:14" ht="16.5" customHeight="1" x14ac:dyDescent="0.45">
      <c r="B239" s="413"/>
      <c r="C239" s="414"/>
      <c r="D239" s="415"/>
      <c r="E239" s="416"/>
      <c r="F239" s="417"/>
      <c r="G239" s="417"/>
      <c r="H239" s="417"/>
      <c r="I239" s="415"/>
      <c r="J239" s="415"/>
      <c r="K239" s="415"/>
      <c r="L239" s="415"/>
      <c r="M239" s="415"/>
      <c r="N239" s="420"/>
    </row>
    <row r="240" spans="2:14" ht="16.5" customHeight="1" x14ac:dyDescent="0.45">
      <c r="B240" s="413"/>
      <c r="C240" s="414"/>
      <c r="D240" s="415"/>
      <c r="E240" s="416"/>
      <c r="F240" s="417"/>
      <c r="G240" s="417"/>
      <c r="H240" s="417"/>
      <c r="I240" s="415"/>
      <c r="J240" s="415"/>
      <c r="K240" s="415"/>
      <c r="L240" s="415"/>
      <c r="M240" s="415"/>
      <c r="N240" s="420"/>
    </row>
    <row r="241" spans="2:14" ht="16.5" customHeight="1" x14ac:dyDescent="0.45">
      <c r="B241" s="413"/>
      <c r="C241" s="414"/>
      <c r="D241" s="415"/>
      <c r="E241" s="416"/>
      <c r="F241" s="417"/>
      <c r="G241" s="417"/>
      <c r="H241" s="417"/>
      <c r="I241" s="415"/>
      <c r="J241" s="415"/>
      <c r="K241" s="415"/>
      <c r="L241" s="415"/>
      <c r="M241" s="415"/>
      <c r="N241" s="420"/>
    </row>
    <row r="242" spans="2:14" ht="16.5" customHeight="1" x14ac:dyDescent="0.45">
      <c r="B242" s="413"/>
      <c r="C242" s="414"/>
      <c r="D242" s="415"/>
      <c r="E242" s="416"/>
      <c r="F242" s="417"/>
      <c r="G242" s="417"/>
      <c r="H242" s="417"/>
      <c r="I242" s="415"/>
      <c r="J242" s="415"/>
      <c r="K242" s="415"/>
      <c r="L242" s="415"/>
      <c r="M242" s="415"/>
      <c r="N242" s="420"/>
    </row>
    <row r="243" spans="2:14" ht="16.5" customHeight="1" x14ac:dyDescent="0.45">
      <c r="B243" s="413"/>
      <c r="C243" s="414"/>
      <c r="D243" s="415"/>
      <c r="E243" s="416"/>
      <c r="F243" s="417"/>
      <c r="G243" s="417"/>
      <c r="H243" s="417"/>
      <c r="I243" s="415"/>
      <c r="J243" s="415"/>
      <c r="K243" s="415"/>
      <c r="L243" s="415"/>
      <c r="M243" s="415"/>
      <c r="N243" s="420"/>
    </row>
    <row r="244" spans="2:14" ht="16.5" customHeight="1" x14ac:dyDescent="0.45">
      <c r="B244" s="413"/>
      <c r="C244" s="414"/>
      <c r="D244" s="415"/>
      <c r="E244" s="416"/>
      <c r="F244" s="417"/>
      <c r="G244" s="417"/>
      <c r="H244" s="417"/>
      <c r="I244" s="415"/>
      <c r="J244" s="415"/>
      <c r="K244" s="415"/>
      <c r="L244" s="415"/>
      <c r="M244" s="415"/>
      <c r="N244" s="420"/>
    </row>
    <row r="245" spans="2:14" ht="16.5" customHeight="1" x14ac:dyDescent="0.45">
      <c r="B245" s="413"/>
      <c r="C245" s="414"/>
      <c r="D245" s="415"/>
      <c r="E245" s="416"/>
      <c r="F245" s="417"/>
      <c r="G245" s="417"/>
      <c r="H245" s="417"/>
      <c r="I245" s="415"/>
      <c r="J245" s="415"/>
      <c r="K245" s="415"/>
      <c r="L245" s="415"/>
      <c r="M245" s="415"/>
      <c r="N245" s="420"/>
    </row>
    <row r="246" spans="2:14" ht="16.5" customHeight="1" x14ac:dyDescent="0.45">
      <c r="B246" s="413"/>
      <c r="C246" s="414"/>
      <c r="D246" s="415"/>
      <c r="E246" s="416"/>
      <c r="F246" s="417"/>
      <c r="G246" s="417"/>
      <c r="H246" s="417"/>
      <c r="I246" s="415"/>
      <c r="J246" s="415"/>
      <c r="K246" s="415"/>
      <c r="L246" s="415"/>
      <c r="M246" s="415"/>
      <c r="N246" s="420"/>
    </row>
    <row r="247" spans="2:14" ht="16.5" customHeight="1" x14ac:dyDescent="0.45">
      <c r="B247" s="413"/>
      <c r="C247" s="414"/>
      <c r="D247" s="415"/>
      <c r="E247" s="416"/>
      <c r="F247" s="417"/>
      <c r="G247" s="417"/>
      <c r="H247" s="417"/>
      <c r="I247" s="415"/>
      <c r="J247" s="415"/>
      <c r="K247" s="415"/>
      <c r="L247" s="415"/>
      <c r="M247" s="415"/>
      <c r="N247" s="420"/>
    </row>
    <row r="248" spans="2:14" ht="16.5" customHeight="1" x14ac:dyDescent="0.45">
      <c r="B248" s="413"/>
      <c r="C248" s="414"/>
      <c r="D248" s="415"/>
      <c r="E248" s="416"/>
      <c r="F248" s="417"/>
      <c r="G248" s="417"/>
      <c r="H248" s="417"/>
      <c r="I248" s="415"/>
      <c r="J248" s="415"/>
      <c r="K248" s="415"/>
      <c r="L248" s="415"/>
      <c r="M248" s="415"/>
      <c r="N248" s="420"/>
    </row>
    <row r="249" spans="2:14" ht="16.5" customHeight="1" x14ac:dyDescent="0.45">
      <c r="B249" s="413"/>
      <c r="C249" s="414"/>
      <c r="D249" s="415"/>
      <c r="E249" s="416"/>
      <c r="F249" s="417"/>
      <c r="G249" s="417"/>
      <c r="H249" s="417"/>
      <c r="I249" s="415"/>
      <c r="J249" s="415"/>
      <c r="K249" s="415"/>
      <c r="L249" s="415"/>
      <c r="M249" s="415"/>
      <c r="N249" s="420"/>
    </row>
    <row r="250" spans="2:14" ht="16.5" customHeight="1" x14ac:dyDescent="0.45">
      <c r="B250" s="413"/>
      <c r="C250" s="414"/>
      <c r="D250" s="415"/>
      <c r="E250" s="416"/>
      <c r="F250" s="417"/>
      <c r="G250" s="417"/>
      <c r="H250" s="417"/>
      <c r="I250" s="415"/>
      <c r="J250" s="415"/>
      <c r="K250" s="415"/>
      <c r="L250" s="415"/>
      <c r="M250" s="415"/>
      <c r="N250" s="420"/>
    </row>
    <row r="251" spans="2:14" ht="16.5" customHeight="1" x14ac:dyDescent="0.45">
      <c r="B251" s="413"/>
      <c r="C251" s="414"/>
      <c r="D251" s="415"/>
      <c r="E251" s="416"/>
      <c r="F251" s="417"/>
      <c r="G251" s="417"/>
      <c r="H251" s="417"/>
      <c r="I251" s="415"/>
      <c r="J251" s="415"/>
      <c r="K251" s="415"/>
      <c r="L251" s="415"/>
      <c r="M251" s="415"/>
      <c r="N251" s="420"/>
    </row>
    <row r="252" spans="2:14" ht="16.5" customHeight="1" x14ac:dyDescent="0.45">
      <c r="B252" s="413"/>
      <c r="C252" s="414"/>
      <c r="D252" s="415"/>
      <c r="E252" s="416"/>
      <c r="F252" s="417"/>
      <c r="G252" s="417"/>
      <c r="H252" s="417"/>
      <c r="I252" s="415"/>
      <c r="J252" s="415"/>
      <c r="K252" s="415"/>
      <c r="L252" s="415"/>
      <c r="M252" s="415"/>
      <c r="N252" s="420"/>
    </row>
    <row r="253" spans="2:14" ht="16.5" customHeight="1" x14ac:dyDescent="0.45">
      <c r="B253" s="413"/>
      <c r="C253" s="414"/>
      <c r="D253" s="415"/>
      <c r="E253" s="416"/>
      <c r="F253" s="417"/>
      <c r="G253" s="417"/>
      <c r="H253" s="417"/>
      <c r="I253" s="415"/>
      <c r="J253" s="415"/>
      <c r="K253" s="415"/>
      <c r="L253" s="415"/>
      <c r="M253" s="415"/>
      <c r="N253" s="420"/>
    </row>
    <row r="254" spans="2:14" ht="16.5" customHeight="1" x14ac:dyDescent="0.45">
      <c r="B254" s="413"/>
      <c r="C254" s="414"/>
      <c r="D254" s="415"/>
      <c r="E254" s="416"/>
      <c r="F254" s="417"/>
      <c r="G254" s="417"/>
      <c r="H254" s="417"/>
      <c r="I254" s="415"/>
      <c r="J254" s="415"/>
      <c r="K254" s="415"/>
      <c r="L254" s="415"/>
      <c r="M254" s="415"/>
      <c r="N254" s="420"/>
    </row>
    <row r="255" spans="2:14" ht="16.5" customHeight="1" x14ac:dyDescent="0.45">
      <c r="B255" s="413"/>
      <c r="C255" s="414"/>
      <c r="D255" s="415"/>
      <c r="E255" s="416"/>
      <c r="F255" s="417"/>
      <c r="G255" s="417"/>
      <c r="H255" s="417"/>
      <c r="I255" s="415"/>
      <c r="J255" s="415"/>
      <c r="K255" s="415"/>
      <c r="L255" s="415"/>
      <c r="M255" s="415"/>
      <c r="N255" s="420"/>
    </row>
    <row r="256" spans="2:14" ht="16.5" customHeight="1" x14ac:dyDescent="0.45">
      <c r="B256" s="413"/>
      <c r="C256" s="414"/>
      <c r="D256" s="415"/>
      <c r="E256" s="416"/>
      <c r="F256" s="417"/>
      <c r="G256" s="417"/>
      <c r="H256" s="417"/>
      <c r="I256" s="415"/>
      <c r="J256" s="415"/>
      <c r="K256" s="415"/>
      <c r="L256" s="415"/>
      <c r="M256" s="415"/>
      <c r="N256" s="420"/>
    </row>
    <row r="257" spans="2:14" ht="16.5" customHeight="1" x14ac:dyDescent="0.45">
      <c r="B257" s="413"/>
      <c r="C257" s="414"/>
      <c r="D257" s="415"/>
      <c r="E257" s="416"/>
      <c r="F257" s="417"/>
      <c r="G257" s="417"/>
      <c r="H257" s="417"/>
      <c r="I257" s="415"/>
      <c r="J257" s="415"/>
      <c r="K257" s="415"/>
      <c r="L257" s="415"/>
      <c r="M257" s="415"/>
      <c r="N257" s="420"/>
    </row>
    <row r="258" spans="2:14" ht="16.5" customHeight="1" x14ac:dyDescent="0.45">
      <c r="B258" s="413"/>
      <c r="C258" s="414"/>
      <c r="D258" s="415"/>
      <c r="E258" s="416"/>
      <c r="F258" s="417"/>
      <c r="G258" s="417"/>
      <c r="H258" s="417"/>
      <c r="I258" s="415"/>
      <c r="J258" s="415"/>
      <c r="K258" s="415"/>
      <c r="L258" s="415"/>
      <c r="M258" s="415"/>
      <c r="N258" s="420"/>
    </row>
    <row r="259" spans="2:14" ht="16.5" customHeight="1" x14ac:dyDescent="0.45">
      <c r="B259" s="413"/>
      <c r="C259" s="414"/>
      <c r="D259" s="415"/>
      <c r="E259" s="416"/>
      <c r="F259" s="417"/>
      <c r="G259" s="417"/>
      <c r="H259" s="417"/>
      <c r="I259" s="415"/>
      <c r="J259" s="415"/>
      <c r="K259" s="415"/>
      <c r="L259" s="415"/>
      <c r="M259" s="415"/>
      <c r="N259" s="420"/>
    </row>
    <row r="260" spans="2:14" ht="16.5" customHeight="1" x14ac:dyDescent="0.45">
      <c r="B260" s="413"/>
      <c r="C260" s="414"/>
      <c r="D260" s="415"/>
      <c r="E260" s="416"/>
      <c r="F260" s="417"/>
      <c r="G260" s="417"/>
      <c r="H260" s="417"/>
      <c r="I260" s="415"/>
      <c r="J260" s="415"/>
      <c r="K260" s="415"/>
      <c r="L260" s="415"/>
      <c r="M260" s="415"/>
      <c r="N260" s="420"/>
    </row>
    <row r="261" spans="2:14" ht="16.5" customHeight="1" x14ac:dyDescent="0.45">
      <c r="B261" s="413"/>
      <c r="C261" s="414"/>
      <c r="D261" s="415"/>
      <c r="E261" s="416"/>
      <c r="F261" s="417"/>
      <c r="G261" s="417"/>
      <c r="H261" s="417"/>
      <c r="I261" s="415"/>
      <c r="J261" s="415"/>
      <c r="K261" s="415"/>
      <c r="L261" s="415"/>
      <c r="M261" s="415"/>
      <c r="N261" s="420"/>
    </row>
    <row r="262" spans="2:14" ht="16.5" customHeight="1" x14ac:dyDescent="0.45">
      <c r="B262" s="413"/>
      <c r="C262" s="414"/>
      <c r="D262" s="415"/>
      <c r="E262" s="416"/>
      <c r="F262" s="417"/>
      <c r="G262" s="417"/>
      <c r="H262" s="417"/>
      <c r="I262" s="415"/>
      <c r="J262" s="415"/>
      <c r="K262" s="415"/>
      <c r="L262" s="415"/>
      <c r="M262" s="415"/>
      <c r="N262" s="420"/>
    </row>
    <row r="263" spans="2:14" ht="16.5" customHeight="1" x14ac:dyDescent="0.45">
      <c r="B263" s="413"/>
      <c r="C263" s="414"/>
      <c r="D263" s="415"/>
      <c r="E263" s="416"/>
      <c r="F263" s="417"/>
      <c r="G263" s="417"/>
      <c r="H263" s="417"/>
      <c r="I263" s="415"/>
      <c r="J263" s="415"/>
      <c r="K263" s="415"/>
      <c r="L263" s="415"/>
      <c r="M263" s="415"/>
      <c r="N263" s="420"/>
    </row>
    <row r="264" spans="2:14" ht="16.5" customHeight="1" x14ac:dyDescent="0.45">
      <c r="B264" s="413"/>
      <c r="C264" s="414"/>
      <c r="D264" s="415"/>
      <c r="E264" s="416"/>
      <c r="F264" s="417"/>
      <c r="G264" s="417"/>
      <c r="H264" s="417"/>
      <c r="I264" s="415"/>
      <c r="J264" s="415"/>
      <c r="K264" s="415"/>
      <c r="L264" s="415"/>
      <c r="M264" s="415"/>
      <c r="N264" s="420"/>
    </row>
    <row r="265" spans="2:14" ht="16.5" customHeight="1" x14ac:dyDescent="0.45">
      <c r="B265" s="413"/>
      <c r="C265" s="414"/>
      <c r="D265" s="415"/>
      <c r="E265" s="416"/>
      <c r="F265" s="417"/>
      <c r="G265" s="417"/>
      <c r="H265" s="417"/>
      <c r="I265" s="415"/>
      <c r="J265" s="415"/>
      <c r="K265" s="415"/>
      <c r="L265" s="415"/>
      <c r="M265" s="415"/>
      <c r="N265" s="420"/>
    </row>
    <row r="266" spans="2:14" ht="16.5" customHeight="1" x14ac:dyDescent="0.45">
      <c r="B266" s="413"/>
      <c r="C266" s="414"/>
      <c r="D266" s="415"/>
      <c r="E266" s="416"/>
      <c r="F266" s="417"/>
      <c r="G266" s="417"/>
      <c r="H266" s="417"/>
      <c r="I266" s="415"/>
      <c r="J266" s="415"/>
      <c r="K266" s="415"/>
      <c r="L266" s="415"/>
      <c r="M266" s="415"/>
      <c r="N266" s="420"/>
    </row>
    <row r="267" spans="2:14" ht="16.5" customHeight="1" x14ac:dyDescent="0.45">
      <c r="B267" s="413"/>
      <c r="C267" s="414"/>
      <c r="D267" s="415"/>
      <c r="E267" s="416"/>
      <c r="F267" s="417"/>
      <c r="G267" s="417"/>
      <c r="H267" s="417"/>
      <c r="I267" s="415"/>
      <c r="J267" s="415"/>
      <c r="K267" s="415"/>
      <c r="L267" s="415"/>
      <c r="M267" s="415"/>
      <c r="N267" s="420"/>
    </row>
    <row r="268" spans="2:14" ht="16.5" customHeight="1" x14ac:dyDescent="0.45">
      <c r="B268" s="413"/>
      <c r="C268" s="414"/>
      <c r="D268" s="415"/>
      <c r="E268" s="416"/>
      <c r="F268" s="417"/>
      <c r="G268" s="417"/>
      <c r="H268" s="417"/>
      <c r="I268" s="415"/>
      <c r="J268" s="415"/>
      <c r="K268" s="415"/>
      <c r="L268" s="415"/>
      <c r="M268" s="415"/>
      <c r="N268" s="420"/>
    </row>
    <row r="269" spans="2:14" ht="16.5" customHeight="1" x14ac:dyDescent="0.45">
      <c r="B269" s="413"/>
      <c r="C269" s="414"/>
      <c r="D269" s="415"/>
      <c r="E269" s="416"/>
      <c r="F269" s="417"/>
      <c r="G269" s="417"/>
      <c r="H269" s="417"/>
      <c r="I269" s="415"/>
      <c r="J269" s="415"/>
      <c r="K269" s="415"/>
      <c r="L269" s="415"/>
      <c r="M269" s="415"/>
      <c r="N269" s="420"/>
    </row>
    <row r="270" spans="2:14" ht="16.5" customHeight="1" x14ac:dyDescent="0.45">
      <c r="B270" s="413"/>
      <c r="C270" s="414"/>
      <c r="D270" s="415"/>
      <c r="E270" s="416"/>
      <c r="F270" s="417"/>
      <c r="G270" s="417"/>
      <c r="H270" s="417"/>
      <c r="I270" s="415"/>
      <c r="J270" s="415"/>
      <c r="K270" s="415"/>
      <c r="L270" s="415"/>
      <c r="M270" s="415"/>
      <c r="N270" s="420"/>
    </row>
    <row r="271" spans="2:14" ht="16.5" customHeight="1" x14ac:dyDescent="0.45">
      <c r="B271" s="413"/>
      <c r="C271" s="414"/>
      <c r="D271" s="415"/>
      <c r="E271" s="416"/>
      <c r="F271" s="417"/>
      <c r="G271" s="417"/>
      <c r="H271" s="417"/>
      <c r="I271" s="415"/>
      <c r="J271" s="415"/>
      <c r="K271" s="415"/>
      <c r="L271" s="415"/>
      <c r="M271" s="415"/>
      <c r="N271" s="420"/>
    </row>
    <row r="272" spans="2:14" ht="16.5" customHeight="1" x14ac:dyDescent="0.45">
      <c r="B272" s="413"/>
      <c r="C272" s="414"/>
      <c r="D272" s="415"/>
      <c r="E272" s="416"/>
      <c r="F272" s="417"/>
      <c r="G272" s="417"/>
      <c r="H272" s="417"/>
      <c r="I272" s="415"/>
      <c r="J272" s="415"/>
      <c r="K272" s="415"/>
      <c r="L272" s="415"/>
      <c r="M272" s="415"/>
      <c r="N272" s="420"/>
    </row>
    <row r="273" spans="2:14" ht="16.5" customHeight="1" x14ac:dyDescent="0.45">
      <c r="B273" s="413"/>
      <c r="C273" s="414"/>
      <c r="D273" s="415"/>
      <c r="E273" s="416"/>
      <c r="F273" s="417"/>
      <c r="G273" s="417"/>
      <c r="H273" s="417"/>
      <c r="I273" s="415"/>
      <c r="J273" s="415"/>
      <c r="K273" s="415"/>
      <c r="L273" s="415"/>
      <c r="M273" s="415"/>
      <c r="N273" s="420"/>
    </row>
    <row r="274" spans="2:14" ht="16.5" customHeight="1" x14ac:dyDescent="0.45">
      <c r="B274" s="413"/>
      <c r="C274" s="414"/>
      <c r="D274" s="415"/>
      <c r="E274" s="416"/>
      <c r="F274" s="417"/>
      <c r="G274" s="417"/>
      <c r="H274" s="417"/>
      <c r="I274" s="415"/>
      <c r="J274" s="415"/>
      <c r="K274" s="415"/>
      <c r="L274" s="415"/>
      <c r="M274" s="415"/>
      <c r="N274" s="420"/>
    </row>
    <row r="275" spans="2:14" ht="16.5" customHeight="1" x14ac:dyDescent="0.45">
      <c r="B275" s="413"/>
      <c r="C275" s="414"/>
      <c r="D275" s="415"/>
      <c r="E275" s="416"/>
      <c r="F275" s="417"/>
      <c r="G275" s="417"/>
      <c r="H275" s="417"/>
      <c r="I275" s="415"/>
      <c r="J275" s="415"/>
      <c r="K275" s="415"/>
      <c r="L275" s="415"/>
      <c r="M275" s="415"/>
      <c r="N275" s="420"/>
    </row>
    <row r="276" spans="2:14" ht="16.5" customHeight="1" x14ac:dyDescent="0.45">
      <c r="B276" s="413"/>
      <c r="C276" s="414"/>
      <c r="D276" s="415"/>
      <c r="E276" s="416"/>
      <c r="F276" s="417"/>
      <c r="G276" s="417"/>
      <c r="H276" s="417"/>
      <c r="I276" s="415"/>
      <c r="J276" s="415"/>
      <c r="K276" s="415"/>
      <c r="L276" s="415"/>
      <c r="M276" s="415"/>
      <c r="N276" s="420"/>
    </row>
    <row r="277" spans="2:14" ht="16.5" customHeight="1" x14ac:dyDescent="0.45">
      <c r="B277" s="413"/>
      <c r="C277" s="414"/>
      <c r="D277" s="415"/>
      <c r="E277" s="416"/>
      <c r="F277" s="417"/>
      <c r="G277" s="417"/>
      <c r="H277" s="417"/>
      <c r="I277" s="415"/>
      <c r="J277" s="415"/>
      <c r="K277" s="415"/>
      <c r="L277" s="415"/>
      <c r="M277" s="415"/>
      <c r="N277" s="420"/>
    </row>
    <row r="278" spans="2:14" ht="16.5" customHeight="1" x14ac:dyDescent="0.45">
      <c r="B278" s="413"/>
      <c r="C278" s="414"/>
      <c r="D278" s="415"/>
      <c r="E278" s="416"/>
      <c r="F278" s="417"/>
      <c r="G278" s="417"/>
      <c r="H278" s="417"/>
      <c r="I278" s="415"/>
      <c r="J278" s="415"/>
      <c r="K278" s="415"/>
      <c r="L278" s="415"/>
      <c r="M278" s="415"/>
      <c r="N278" s="420"/>
    </row>
    <row r="279" spans="2:14" ht="16.5" customHeight="1" x14ac:dyDescent="0.45">
      <c r="B279" s="413"/>
      <c r="C279" s="414"/>
      <c r="D279" s="415"/>
      <c r="E279" s="416"/>
      <c r="F279" s="417"/>
      <c r="G279" s="417"/>
      <c r="H279" s="417"/>
      <c r="I279" s="415"/>
      <c r="J279" s="415"/>
      <c r="K279" s="415"/>
      <c r="L279" s="415"/>
      <c r="M279" s="415"/>
      <c r="N279" s="420"/>
    </row>
    <row r="280" spans="2:14" ht="16.5" customHeight="1" x14ac:dyDescent="0.45">
      <c r="B280" s="413"/>
      <c r="C280" s="414"/>
      <c r="D280" s="415"/>
      <c r="E280" s="416"/>
      <c r="F280" s="417"/>
      <c r="G280" s="417"/>
      <c r="H280" s="417"/>
      <c r="I280" s="415"/>
      <c r="J280" s="415"/>
      <c r="K280" s="415"/>
      <c r="L280" s="415"/>
      <c r="M280" s="415"/>
      <c r="N280" s="420"/>
    </row>
    <row r="281" spans="2:14" ht="16.5" customHeight="1" x14ac:dyDescent="0.45">
      <c r="B281" s="413"/>
      <c r="C281" s="414"/>
      <c r="D281" s="415"/>
      <c r="E281" s="416"/>
      <c r="F281" s="417"/>
      <c r="G281" s="417"/>
      <c r="H281" s="417"/>
      <c r="I281" s="415"/>
      <c r="J281" s="415"/>
      <c r="K281" s="415"/>
      <c r="L281" s="415"/>
      <c r="M281" s="415"/>
      <c r="N281" s="420"/>
    </row>
    <row r="282" spans="2:14" ht="16.5" customHeight="1" x14ac:dyDescent="0.45">
      <c r="B282" s="413"/>
      <c r="C282" s="414"/>
      <c r="D282" s="415"/>
      <c r="E282" s="416"/>
      <c r="F282" s="417"/>
      <c r="G282" s="417"/>
      <c r="H282" s="417"/>
      <c r="I282" s="415"/>
      <c r="J282" s="415"/>
      <c r="K282" s="415"/>
      <c r="L282" s="415"/>
      <c r="M282" s="415"/>
      <c r="N282" s="420"/>
    </row>
    <row r="283" spans="2:14" ht="16.5" customHeight="1" x14ac:dyDescent="0.45">
      <c r="B283" s="413"/>
      <c r="C283" s="414"/>
      <c r="D283" s="415"/>
      <c r="E283" s="416"/>
      <c r="F283" s="417"/>
      <c r="G283" s="417"/>
      <c r="H283" s="417"/>
      <c r="I283" s="415"/>
      <c r="J283" s="415"/>
      <c r="K283" s="415"/>
      <c r="L283" s="415"/>
      <c r="M283" s="415"/>
      <c r="N283" s="420"/>
    </row>
    <row r="284" spans="2:14" ht="16.5" customHeight="1" x14ac:dyDescent="0.45">
      <c r="B284" s="413"/>
      <c r="C284" s="414"/>
      <c r="D284" s="415"/>
      <c r="E284" s="416"/>
      <c r="F284" s="417"/>
      <c r="G284" s="417"/>
      <c r="H284" s="417"/>
      <c r="I284" s="415"/>
      <c r="J284" s="415"/>
      <c r="K284" s="415"/>
      <c r="L284" s="415"/>
      <c r="M284" s="415"/>
      <c r="N284" s="420"/>
    </row>
    <row r="285" spans="2:14" ht="16.5" customHeight="1" x14ac:dyDescent="0.45">
      <c r="B285" s="413"/>
      <c r="C285" s="414"/>
      <c r="D285" s="415"/>
      <c r="E285" s="416"/>
      <c r="F285" s="417"/>
      <c r="G285" s="417"/>
      <c r="H285" s="417"/>
      <c r="I285" s="415"/>
      <c r="J285" s="415"/>
      <c r="K285" s="415"/>
      <c r="L285" s="415"/>
      <c r="M285" s="415"/>
      <c r="N285" s="420"/>
    </row>
    <row r="286" spans="2:14" ht="16.5" customHeight="1" x14ac:dyDescent="0.45">
      <c r="B286" s="413"/>
      <c r="C286" s="414"/>
      <c r="D286" s="415"/>
      <c r="E286" s="416"/>
      <c r="F286" s="417"/>
      <c r="G286" s="417"/>
      <c r="H286" s="417"/>
      <c r="I286" s="415"/>
      <c r="J286" s="415"/>
      <c r="K286" s="415"/>
      <c r="L286" s="415"/>
      <c r="M286" s="415"/>
      <c r="N286" s="420"/>
    </row>
    <row r="287" spans="2:14" ht="16.5" customHeight="1" x14ac:dyDescent="0.45">
      <c r="B287" s="413"/>
      <c r="C287" s="414"/>
      <c r="D287" s="415"/>
      <c r="E287" s="416"/>
      <c r="F287" s="417"/>
      <c r="G287" s="417"/>
      <c r="H287" s="417"/>
      <c r="I287" s="415"/>
      <c r="J287" s="415"/>
      <c r="K287" s="415"/>
      <c r="L287" s="415"/>
      <c r="M287" s="415"/>
      <c r="N287" s="420"/>
    </row>
    <row r="288" spans="2:14" ht="16.5" customHeight="1" x14ac:dyDescent="0.45">
      <c r="B288" s="413"/>
      <c r="C288" s="414"/>
      <c r="D288" s="415"/>
      <c r="E288" s="416"/>
      <c r="F288" s="417"/>
      <c r="G288" s="417"/>
      <c r="H288" s="417"/>
      <c r="I288" s="415"/>
      <c r="J288" s="415"/>
      <c r="K288" s="415"/>
      <c r="L288" s="415"/>
      <c r="M288" s="415"/>
      <c r="N288" s="420"/>
    </row>
    <row r="289" spans="2:14" ht="16.5" customHeight="1" x14ac:dyDescent="0.45">
      <c r="B289" s="413"/>
      <c r="C289" s="414"/>
      <c r="D289" s="415"/>
      <c r="E289" s="416"/>
      <c r="F289" s="417"/>
      <c r="G289" s="417"/>
      <c r="H289" s="417"/>
      <c r="I289" s="415"/>
      <c r="J289" s="415"/>
      <c r="K289" s="415"/>
      <c r="L289" s="415"/>
      <c r="M289" s="415"/>
      <c r="N289" s="420"/>
    </row>
    <row r="290" spans="2:14" ht="16.5" customHeight="1" x14ac:dyDescent="0.45">
      <c r="B290" s="413"/>
      <c r="C290" s="414"/>
      <c r="D290" s="415"/>
      <c r="E290" s="416"/>
      <c r="F290" s="417"/>
      <c r="G290" s="417"/>
      <c r="H290" s="417"/>
      <c r="I290" s="415"/>
      <c r="J290" s="415"/>
      <c r="K290" s="415"/>
      <c r="L290" s="415"/>
      <c r="M290" s="415"/>
      <c r="N290" s="420"/>
    </row>
    <row r="291" spans="2:14" ht="16.5" customHeight="1" x14ac:dyDescent="0.45">
      <c r="B291" s="413"/>
      <c r="C291" s="414"/>
      <c r="D291" s="415"/>
      <c r="E291" s="416"/>
      <c r="F291" s="417"/>
      <c r="G291" s="417"/>
      <c r="H291" s="417"/>
      <c r="I291" s="415"/>
      <c r="J291" s="415"/>
      <c r="K291" s="415"/>
      <c r="L291" s="415"/>
      <c r="M291" s="415"/>
      <c r="N291" s="420"/>
    </row>
    <row r="292" spans="2:14" ht="16.5" customHeight="1" x14ac:dyDescent="0.45">
      <c r="B292" s="413"/>
      <c r="C292" s="414"/>
      <c r="D292" s="415"/>
      <c r="E292" s="416"/>
      <c r="F292" s="417"/>
      <c r="G292" s="417"/>
      <c r="H292" s="417"/>
      <c r="I292" s="415"/>
      <c r="J292" s="415"/>
      <c r="K292" s="415"/>
      <c r="L292" s="415"/>
      <c r="M292" s="415"/>
      <c r="N292" s="420"/>
    </row>
    <row r="293" spans="2:14" ht="16.5" customHeight="1" x14ac:dyDescent="0.45">
      <c r="B293" s="413"/>
      <c r="C293" s="414"/>
      <c r="D293" s="415"/>
      <c r="E293" s="416"/>
      <c r="F293" s="417"/>
      <c r="G293" s="417"/>
      <c r="H293" s="417"/>
      <c r="I293" s="415"/>
      <c r="J293" s="415"/>
      <c r="K293" s="415"/>
      <c r="L293" s="415"/>
      <c r="M293" s="415"/>
      <c r="N293" s="420"/>
    </row>
    <row r="294" spans="2:14" ht="16.5" customHeight="1" x14ac:dyDescent="0.45">
      <c r="B294" s="413"/>
      <c r="C294" s="414"/>
      <c r="D294" s="415"/>
      <c r="E294" s="416"/>
      <c r="F294" s="417"/>
      <c r="G294" s="417"/>
      <c r="H294" s="417"/>
      <c r="I294" s="415"/>
      <c r="J294" s="415"/>
      <c r="K294" s="415"/>
      <c r="L294" s="415"/>
      <c r="M294" s="415"/>
      <c r="N294" s="420"/>
    </row>
    <row r="295" spans="2:14" ht="16.5" customHeight="1" x14ac:dyDescent="0.45">
      <c r="B295" s="413"/>
      <c r="C295" s="414"/>
      <c r="D295" s="415"/>
      <c r="E295" s="416"/>
      <c r="F295" s="417"/>
      <c r="G295" s="417"/>
      <c r="H295" s="417"/>
      <c r="I295" s="415"/>
      <c r="J295" s="415"/>
      <c r="K295" s="415"/>
      <c r="L295" s="415"/>
      <c r="M295" s="415"/>
      <c r="N295" s="420"/>
    </row>
    <row r="296" spans="2:14" ht="16.5" customHeight="1" x14ac:dyDescent="0.45">
      <c r="B296" s="413"/>
      <c r="C296" s="414"/>
      <c r="D296" s="415"/>
      <c r="E296" s="416"/>
      <c r="F296" s="417"/>
      <c r="G296" s="417"/>
      <c r="H296" s="417"/>
      <c r="I296" s="415"/>
      <c r="J296" s="415"/>
      <c r="K296" s="415"/>
      <c r="L296" s="415"/>
      <c r="M296" s="415"/>
      <c r="N296" s="420"/>
    </row>
    <row r="297" spans="2:14" ht="16.5" customHeight="1" x14ac:dyDescent="0.45">
      <c r="B297" s="413"/>
      <c r="C297" s="414"/>
      <c r="D297" s="415"/>
      <c r="E297" s="416"/>
      <c r="F297" s="417"/>
      <c r="G297" s="417"/>
      <c r="H297" s="417"/>
      <c r="I297" s="415"/>
      <c r="J297" s="415"/>
      <c r="K297" s="415"/>
      <c r="L297" s="415"/>
      <c r="M297" s="415"/>
      <c r="N297" s="420"/>
    </row>
    <row r="298" spans="2:14" ht="16.5" customHeight="1" x14ac:dyDescent="0.45">
      <c r="B298" s="413"/>
      <c r="C298" s="414"/>
      <c r="D298" s="415"/>
      <c r="E298" s="416"/>
      <c r="F298" s="417"/>
      <c r="G298" s="417"/>
      <c r="H298" s="417"/>
      <c r="I298" s="415"/>
      <c r="J298" s="415"/>
      <c r="K298" s="415"/>
      <c r="L298" s="415"/>
      <c r="M298" s="415"/>
      <c r="N298" s="420"/>
    </row>
    <row r="299" spans="2:14" ht="16.5" customHeight="1" x14ac:dyDescent="0.45">
      <c r="B299" s="413"/>
      <c r="C299" s="414"/>
      <c r="D299" s="415"/>
      <c r="E299" s="416"/>
      <c r="F299" s="417"/>
      <c r="G299" s="417"/>
      <c r="H299" s="417"/>
      <c r="I299" s="415"/>
      <c r="J299" s="415"/>
      <c r="K299" s="415"/>
      <c r="L299" s="415"/>
      <c r="M299" s="415"/>
      <c r="N299" s="420"/>
    </row>
    <row r="300" spans="2:14" ht="16.5" customHeight="1" x14ac:dyDescent="0.45">
      <c r="B300" s="413"/>
      <c r="C300" s="414"/>
      <c r="D300" s="415"/>
      <c r="E300" s="416"/>
      <c r="F300" s="417"/>
      <c r="G300" s="417"/>
      <c r="H300" s="417"/>
      <c r="I300" s="415"/>
      <c r="J300" s="415"/>
      <c r="K300" s="415"/>
      <c r="L300" s="415"/>
      <c r="M300" s="415"/>
      <c r="N300" s="420"/>
    </row>
    <row r="301" spans="2:14" ht="16.5" customHeight="1" x14ac:dyDescent="0.45">
      <c r="B301" s="413"/>
      <c r="C301" s="414"/>
      <c r="D301" s="415"/>
      <c r="E301" s="416"/>
      <c r="F301" s="417"/>
      <c r="G301" s="417"/>
      <c r="H301" s="417"/>
      <c r="I301" s="415"/>
      <c r="J301" s="415"/>
      <c r="K301" s="415"/>
      <c r="L301" s="415"/>
      <c r="M301" s="415"/>
      <c r="N301" s="420"/>
    </row>
    <row r="302" spans="2:14" ht="16.5" customHeight="1" x14ac:dyDescent="0.45">
      <c r="B302" s="413"/>
      <c r="C302" s="414"/>
      <c r="D302" s="415"/>
      <c r="E302" s="416"/>
      <c r="F302" s="417"/>
      <c r="G302" s="417"/>
      <c r="H302" s="417"/>
      <c r="I302" s="415"/>
      <c r="J302" s="415"/>
      <c r="K302" s="415"/>
      <c r="L302" s="415"/>
      <c r="M302" s="415"/>
      <c r="N302" s="420"/>
    </row>
    <row r="303" spans="2:14" ht="16.5" customHeight="1" x14ac:dyDescent="0.45">
      <c r="B303" s="413"/>
      <c r="C303" s="414"/>
      <c r="D303" s="415"/>
      <c r="E303" s="416"/>
      <c r="F303" s="417"/>
      <c r="G303" s="417"/>
      <c r="H303" s="417"/>
      <c r="I303" s="415"/>
      <c r="J303" s="415"/>
      <c r="K303" s="415"/>
      <c r="L303" s="415"/>
      <c r="M303" s="415"/>
      <c r="N303" s="420"/>
    </row>
    <row r="304" spans="2:14" ht="16.5" customHeight="1" x14ac:dyDescent="0.45">
      <c r="B304" s="413"/>
      <c r="C304" s="414"/>
      <c r="D304" s="415"/>
      <c r="E304" s="416"/>
      <c r="F304" s="417"/>
      <c r="G304" s="417"/>
      <c r="H304" s="417"/>
      <c r="I304" s="415"/>
      <c r="J304" s="415"/>
      <c r="K304" s="415"/>
      <c r="L304" s="415"/>
      <c r="M304" s="415"/>
      <c r="N304" s="420"/>
    </row>
    <row r="305" spans="2:14" ht="16.5" customHeight="1" x14ac:dyDescent="0.45">
      <c r="B305" s="413"/>
      <c r="C305" s="414"/>
      <c r="D305" s="415"/>
      <c r="E305" s="416"/>
      <c r="F305" s="417"/>
      <c r="G305" s="417"/>
      <c r="H305" s="417"/>
      <c r="I305" s="415"/>
      <c r="J305" s="415"/>
      <c r="K305" s="415"/>
      <c r="L305" s="415"/>
      <c r="M305" s="415"/>
      <c r="N305" s="420"/>
    </row>
    <row r="306" spans="2:14" ht="16.5" customHeight="1" x14ac:dyDescent="0.45">
      <c r="B306" s="413"/>
      <c r="C306" s="414"/>
      <c r="D306" s="415"/>
      <c r="E306" s="416"/>
      <c r="F306" s="417"/>
      <c r="G306" s="417"/>
      <c r="H306" s="417"/>
      <c r="I306" s="415"/>
      <c r="J306" s="415"/>
      <c r="K306" s="415"/>
      <c r="L306" s="415"/>
      <c r="M306" s="415"/>
      <c r="N306" s="420"/>
    </row>
    <row r="307" spans="2:14" ht="16.5" customHeight="1" x14ac:dyDescent="0.45">
      <c r="B307" s="413"/>
      <c r="C307" s="414"/>
      <c r="D307" s="415"/>
      <c r="E307" s="416"/>
      <c r="F307" s="417"/>
      <c r="G307" s="417"/>
      <c r="H307" s="417"/>
      <c r="I307" s="415"/>
      <c r="J307" s="415"/>
      <c r="K307" s="415"/>
      <c r="L307" s="415"/>
      <c r="M307" s="415"/>
      <c r="N307" s="420"/>
    </row>
    <row r="308" spans="2:14" ht="16.5" customHeight="1" x14ac:dyDescent="0.45">
      <c r="B308" s="413"/>
      <c r="C308" s="414"/>
      <c r="D308" s="415"/>
      <c r="E308" s="416"/>
      <c r="F308" s="417"/>
      <c r="G308" s="417"/>
      <c r="H308" s="417"/>
      <c r="I308" s="415"/>
      <c r="J308" s="415"/>
      <c r="K308" s="415"/>
      <c r="L308" s="415"/>
      <c r="M308" s="415"/>
      <c r="N308" s="420"/>
    </row>
    <row r="309" spans="2:14" ht="16.5" customHeight="1" x14ac:dyDescent="0.45">
      <c r="B309" s="413"/>
      <c r="C309" s="414"/>
      <c r="D309" s="415"/>
      <c r="E309" s="416"/>
      <c r="F309" s="417"/>
      <c r="G309" s="417"/>
      <c r="H309" s="417"/>
      <c r="I309" s="415"/>
      <c r="J309" s="415"/>
      <c r="K309" s="415"/>
      <c r="L309" s="415"/>
      <c r="M309" s="415"/>
      <c r="N309" s="420"/>
    </row>
    <row r="310" spans="2:14" ht="16.5" customHeight="1" x14ac:dyDescent="0.45">
      <c r="B310" s="413"/>
      <c r="C310" s="414"/>
      <c r="D310" s="415"/>
      <c r="E310" s="416"/>
      <c r="F310" s="417"/>
      <c r="G310" s="417"/>
      <c r="H310" s="417"/>
      <c r="I310" s="415"/>
      <c r="J310" s="415"/>
      <c r="K310" s="415"/>
      <c r="L310" s="415"/>
      <c r="M310" s="415"/>
      <c r="N310" s="420"/>
    </row>
    <row r="311" spans="2:14" ht="16.5" customHeight="1" x14ac:dyDescent="0.45">
      <c r="B311" s="413"/>
      <c r="C311" s="414"/>
      <c r="D311" s="415"/>
      <c r="E311" s="416"/>
      <c r="F311" s="417"/>
      <c r="G311" s="417"/>
      <c r="H311" s="417"/>
      <c r="I311" s="415"/>
      <c r="J311" s="415"/>
      <c r="K311" s="415"/>
      <c r="L311" s="415"/>
      <c r="M311" s="415"/>
      <c r="N311" s="420"/>
    </row>
    <row r="312" spans="2:14" ht="16.5" customHeight="1" x14ac:dyDescent="0.45">
      <c r="B312" s="413"/>
      <c r="C312" s="414"/>
      <c r="D312" s="415"/>
      <c r="E312" s="416"/>
      <c r="F312" s="417"/>
      <c r="G312" s="417"/>
      <c r="H312" s="417"/>
      <c r="I312" s="415"/>
      <c r="J312" s="415"/>
      <c r="K312" s="415"/>
      <c r="L312" s="415"/>
      <c r="M312" s="415"/>
      <c r="N312" s="420"/>
    </row>
    <row r="313" spans="2:14" ht="16.5" customHeight="1" x14ac:dyDescent="0.45">
      <c r="B313" s="413"/>
      <c r="C313" s="414"/>
      <c r="D313" s="415"/>
      <c r="E313" s="416"/>
      <c r="F313" s="417"/>
      <c r="G313" s="417"/>
      <c r="H313" s="417"/>
      <c r="I313" s="415"/>
      <c r="J313" s="415"/>
      <c r="K313" s="415"/>
      <c r="L313" s="415"/>
      <c r="M313" s="415"/>
      <c r="N313" s="420"/>
    </row>
    <row r="314" spans="2:14" ht="16.5" customHeight="1" x14ac:dyDescent="0.45">
      <c r="B314" s="413"/>
      <c r="C314" s="414"/>
      <c r="D314" s="415"/>
      <c r="E314" s="416"/>
      <c r="F314" s="417"/>
      <c r="G314" s="417"/>
      <c r="H314" s="417"/>
      <c r="I314" s="415"/>
      <c r="J314" s="415"/>
      <c r="K314" s="415"/>
      <c r="L314" s="415"/>
      <c r="M314" s="415"/>
      <c r="N314" s="420"/>
    </row>
    <row r="315" spans="2:14" ht="16.5" customHeight="1" x14ac:dyDescent="0.45">
      <c r="B315" s="413"/>
      <c r="C315" s="414"/>
      <c r="D315" s="415"/>
      <c r="E315" s="416"/>
      <c r="F315" s="417"/>
      <c r="G315" s="417"/>
      <c r="H315" s="417"/>
      <c r="I315" s="415"/>
      <c r="J315" s="415"/>
      <c r="K315" s="415"/>
      <c r="L315" s="415"/>
      <c r="M315" s="415"/>
      <c r="N315" s="420"/>
    </row>
    <row r="316" spans="2:14" ht="16.5" customHeight="1" x14ac:dyDescent="0.45">
      <c r="B316" s="413"/>
      <c r="C316" s="414"/>
      <c r="D316" s="415"/>
      <c r="E316" s="416"/>
      <c r="F316" s="417"/>
      <c r="G316" s="417"/>
      <c r="H316" s="417"/>
      <c r="I316" s="415"/>
      <c r="J316" s="415"/>
      <c r="K316" s="415"/>
      <c r="L316" s="415"/>
      <c r="M316" s="415"/>
      <c r="N316" s="420"/>
    </row>
    <row r="317" spans="2:14" ht="16.5" customHeight="1" x14ac:dyDescent="0.45">
      <c r="B317" s="413"/>
      <c r="C317" s="414"/>
      <c r="D317" s="415"/>
      <c r="E317" s="416"/>
      <c r="F317" s="417"/>
      <c r="G317" s="417"/>
      <c r="H317" s="417"/>
      <c r="I317" s="415"/>
      <c r="J317" s="415"/>
      <c r="K317" s="415"/>
      <c r="L317" s="415"/>
      <c r="M317" s="415"/>
      <c r="N317" s="420"/>
    </row>
    <row r="318" spans="2:14" ht="16.5" customHeight="1" x14ac:dyDescent="0.45">
      <c r="B318" s="413"/>
      <c r="C318" s="414"/>
      <c r="D318" s="415"/>
      <c r="E318" s="416"/>
      <c r="F318" s="417"/>
      <c r="G318" s="417"/>
      <c r="H318" s="417"/>
      <c r="I318" s="415"/>
      <c r="J318" s="415"/>
      <c r="K318" s="415"/>
      <c r="L318" s="415"/>
      <c r="M318" s="415"/>
      <c r="N318" s="420"/>
    </row>
    <row r="319" spans="2:14" ht="16.5" customHeight="1" x14ac:dyDescent="0.45">
      <c r="B319" s="413"/>
      <c r="C319" s="414"/>
      <c r="D319" s="415"/>
      <c r="E319" s="416"/>
      <c r="F319" s="417"/>
      <c r="G319" s="417"/>
      <c r="H319" s="417"/>
      <c r="I319" s="415"/>
      <c r="J319" s="415"/>
      <c r="K319" s="415"/>
      <c r="L319" s="415"/>
      <c r="M319" s="415"/>
      <c r="N319" s="420"/>
    </row>
    <row r="320" spans="2:14" ht="16.5" customHeight="1" x14ac:dyDescent="0.45">
      <c r="B320" s="413"/>
      <c r="C320" s="414"/>
      <c r="D320" s="415"/>
      <c r="E320" s="416"/>
      <c r="F320" s="417"/>
      <c r="G320" s="417"/>
      <c r="H320" s="417"/>
      <c r="I320" s="415"/>
      <c r="J320" s="415"/>
      <c r="K320" s="415"/>
      <c r="L320" s="415"/>
      <c r="M320" s="415"/>
      <c r="N320" s="420"/>
    </row>
    <row r="321" spans="2:14" ht="16.5" customHeight="1" x14ac:dyDescent="0.45">
      <c r="B321" s="413"/>
      <c r="C321" s="414"/>
      <c r="D321" s="415"/>
      <c r="E321" s="416"/>
      <c r="F321" s="417"/>
      <c r="G321" s="417"/>
      <c r="H321" s="417"/>
      <c r="I321" s="415"/>
      <c r="J321" s="415"/>
      <c r="K321" s="415"/>
      <c r="L321" s="415"/>
      <c r="M321" s="415"/>
      <c r="N321" s="420"/>
    </row>
    <row r="322" spans="2:14" ht="16.5" customHeight="1" x14ac:dyDescent="0.45">
      <c r="B322" s="413"/>
      <c r="C322" s="414"/>
      <c r="D322" s="415"/>
      <c r="E322" s="416"/>
      <c r="F322" s="417"/>
      <c r="G322" s="417"/>
      <c r="H322" s="417"/>
      <c r="I322" s="415"/>
      <c r="J322" s="415"/>
      <c r="K322" s="415"/>
      <c r="L322" s="415"/>
      <c r="M322" s="415"/>
      <c r="N322" s="420"/>
    </row>
    <row r="323" spans="2:14" ht="16.5" customHeight="1" x14ac:dyDescent="0.45">
      <c r="B323" s="413"/>
      <c r="C323" s="414"/>
      <c r="D323" s="415"/>
      <c r="E323" s="416"/>
      <c r="F323" s="417"/>
      <c r="G323" s="417"/>
      <c r="H323" s="417"/>
      <c r="I323" s="415"/>
      <c r="J323" s="415"/>
      <c r="K323" s="415"/>
      <c r="L323" s="415"/>
      <c r="M323" s="415"/>
      <c r="N323" s="420"/>
    </row>
    <row r="324" spans="2:14" ht="16.5" customHeight="1" x14ac:dyDescent="0.45">
      <c r="B324" s="413"/>
      <c r="C324" s="414"/>
      <c r="D324" s="415"/>
      <c r="E324" s="416"/>
      <c r="F324" s="417"/>
      <c r="G324" s="417"/>
      <c r="H324" s="417"/>
      <c r="I324" s="415"/>
      <c r="J324" s="415"/>
      <c r="K324" s="415"/>
      <c r="L324" s="415"/>
      <c r="M324" s="415"/>
      <c r="N324" s="420"/>
    </row>
    <row r="325" spans="2:14" ht="16.5" customHeight="1" x14ac:dyDescent="0.45">
      <c r="B325" s="413"/>
      <c r="C325" s="414"/>
      <c r="D325" s="415"/>
      <c r="E325" s="416"/>
      <c r="F325" s="417"/>
      <c r="G325" s="417"/>
      <c r="H325" s="417"/>
      <c r="I325" s="415"/>
      <c r="J325" s="415"/>
      <c r="K325" s="415"/>
      <c r="L325" s="415"/>
      <c r="M325" s="415"/>
      <c r="N325" s="420"/>
    </row>
    <row r="326" spans="2:14" ht="16.5" customHeight="1" x14ac:dyDescent="0.45">
      <c r="B326" s="413"/>
      <c r="C326" s="414"/>
      <c r="D326" s="415"/>
      <c r="E326" s="416"/>
      <c r="F326" s="417"/>
      <c r="G326" s="417"/>
      <c r="H326" s="417"/>
      <c r="I326" s="415"/>
      <c r="J326" s="415"/>
      <c r="K326" s="415"/>
      <c r="L326" s="415"/>
      <c r="M326" s="415"/>
      <c r="N326" s="420"/>
    </row>
    <row r="327" spans="2:14" ht="16.5" customHeight="1" x14ac:dyDescent="0.45">
      <c r="B327" s="413"/>
      <c r="C327" s="414"/>
      <c r="D327" s="415"/>
      <c r="E327" s="416"/>
      <c r="F327" s="417"/>
      <c r="G327" s="417"/>
      <c r="H327" s="417"/>
      <c r="I327" s="415"/>
      <c r="J327" s="415"/>
      <c r="K327" s="415"/>
      <c r="L327" s="415"/>
      <c r="M327" s="415"/>
      <c r="N327" s="420"/>
    </row>
    <row r="328" spans="2:14" ht="16.5" customHeight="1" x14ac:dyDescent="0.45">
      <c r="B328" s="413"/>
      <c r="C328" s="414"/>
      <c r="D328" s="415"/>
      <c r="E328" s="416"/>
      <c r="F328" s="417"/>
      <c r="G328" s="417"/>
      <c r="H328" s="417"/>
      <c r="I328" s="415"/>
      <c r="J328" s="415"/>
      <c r="K328" s="415"/>
      <c r="L328" s="415"/>
      <c r="M328" s="415"/>
      <c r="N328" s="420"/>
    </row>
    <row r="329" spans="2:14" ht="16.5" customHeight="1" x14ac:dyDescent="0.45">
      <c r="B329" s="413"/>
      <c r="C329" s="414"/>
      <c r="D329" s="415"/>
      <c r="E329" s="416"/>
      <c r="F329" s="417"/>
      <c r="G329" s="417"/>
      <c r="H329" s="417"/>
      <c r="I329" s="415"/>
      <c r="J329" s="415"/>
      <c r="K329" s="415"/>
      <c r="L329" s="415"/>
      <c r="M329" s="415"/>
      <c r="N329" s="420"/>
    </row>
    <row r="330" spans="2:14" ht="16.5" customHeight="1" x14ac:dyDescent="0.45">
      <c r="B330" s="413"/>
      <c r="C330" s="414"/>
      <c r="D330" s="415"/>
      <c r="E330" s="416"/>
      <c r="F330" s="417"/>
      <c r="G330" s="417"/>
      <c r="H330" s="417"/>
      <c r="I330" s="415"/>
      <c r="J330" s="415"/>
      <c r="K330" s="415"/>
      <c r="L330" s="415"/>
      <c r="M330" s="415"/>
      <c r="N330" s="420"/>
    </row>
    <row r="331" spans="2:14" ht="16.5" customHeight="1" x14ac:dyDescent="0.45">
      <c r="B331" s="413"/>
      <c r="C331" s="414"/>
      <c r="D331" s="415"/>
      <c r="E331" s="416"/>
      <c r="F331" s="417"/>
      <c r="G331" s="417"/>
      <c r="H331" s="417"/>
      <c r="I331" s="415"/>
      <c r="J331" s="415"/>
      <c r="K331" s="415"/>
      <c r="L331" s="415"/>
      <c r="M331" s="415"/>
      <c r="N331" s="420"/>
    </row>
    <row r="332" spans="2:14" ht="16.5" customHeight="1" x14ac:dyDescent="0.45">
      <c r="B332" s="413"/>
      <c r="C332" s="414"/>
      <c r="D332" s="415"/>
      <c r="E332" s="416"/>
      <c r="F332" s="417"/>
      <c r="G332" s="417"/>
      <c r="H332" s="417"/>
      <c r="I332" s="415"/>
      <c r="J332" s="415"/>
      <c r="K332" s="415"/>
      <c r="L332" s="415"/>
      <c r="M332" s="415"/>
      <c r="N332" s="420"/>
    </row>
    <row r="333" spans="2:14" ht="16.5" customHeight="1" x14ac:dyDescent="0.45">
      <c r="B333" s="413"/>
      <c r="C333" s="414"/>
      <c r="D333" s="415"/>
      <c r="E333" s="416"/>
      <c r="F333" s="417"/>
      <c r="G333" s="417"/>
      <c r="H333" s="417"/>
      <c r="I333" s="415"/>
      <c r="J333" s="415"/>
      <c r="K333" s="415"/>
      <c r="L333" s="415"/>
      <c r="M333" s="415"/>
      <c r="N333" s="420"/>
    </row>
    <row r="334" spans="2:14" ht="16.5" customHeight="1" x14ac:dyDescent="0.45">
      <c r="B334" s="413"/>
      <c r="C334" s="414"/>
      <c r="D334" s="415"/>
      <c r="E334" s="416"/>
      <c r="F334" s="417"/>
      <c r="G334" s="417"/>
      <c r="H334" s="417"/>
      <c r="I334" s="415"/>
      <c r="J334" s="415"/>
      <c r="K334" s="415"/>
      <c r="L334" s="415"/>
      <c r="M334" s="415"/>
      <c r="N334" s="420"/>
    </row>
    <row r="335" spans="2:14" ht="16.5" customHeight="1" x14ac:dyDescent="0.45">
      <c r="B335" s="413"/>
      <c r="C335" s="414"/>
      <c r="D335" s="415"/>
      <c r="E335" s="416"/>
      <c r="F335" s="417"/>
      <c r="G335" s="417"/>
      <c r="H335" s="417"/>
      <c r="I335" s="415"/>
      <c r="J335" s="415"/>
      <c r="K335" s="415"/>
      <c r="L335" s="415"/>
      <c r="M335" s="415"/>
      <c r="N335" s="420"/>
    </row>
    <row r="336" spans="2:14" ht="16.5" customHeight="1" x14ac:dyDescent="0.45">
      <c r="B336" s="413"/>
      <c r="C336" s="414"/>
      <c r="D336" s="415"/>
      <c r="E336" s="416"/>
      <c r="F336" s="417"/>
      <c r="G336" s="417"/>
      <c r="H336" s="417"/>
      <c r="I336" s="415"/>
      <c r="J336" s="415"/>
      <c r="K336" s="415"/>
      <c r="L336" s="415"/>
      <c r="M336" s="415"/>
      <c r="N336" s="420"/>
    </row>
    <row r="337" spans="2:14" ht="16.5" customHeight="1" x14ac:dyDescent="0.45">
      <c r="B337" s="413"/>
      <c r="C337" s="414"/>
      <c r="D337" s="415"/>
      <c r="E337" s="416"/>
      <c r="F337" s="417"/>
      <c r="G337" s="417"/>
      <c r="H337" s="417"/>
      <c r="I337" s="415"/>
      <c r="J337" s="415"/>
      <c r="K337" s="415"/>
      <c r="L337" s="415"/>
      <c r="M337" s="415"/>
      <c r="N337" s="420"/>
    </row>
    <row r="338" spans="2:14" ht="16.5" customHeight="1" x14ac:dyDescent="0.45">
      <c r="B338" s="413"/>
      <c r="C338" s="414"/>
      <c r="D338" s="415"/>
      <c r="E338" s="416"/>
      <c r="F338" s="417"/>
      <c r="G338" s="417"/>
      <c r="H338" s="417"/>
      <c r="I338" s="415"/>
      <c r="J338" s="415"/>
      <c r="K338" s="415"/>
      <c r="L338" s="415"/>
      <c r="M338" s="415"/>
      <c r="N338" s="420"/>
    </row>
    <row r="339" spans="2:14" ht="16.5" customHeight="1" x14ac:dyDescent="0.45">
      <c r="B339" s="413"/>
      <c r="C339" s="414"/>
      <c r="D339" s="415"/>
      <c r="E339" s="416"/>
      <c r="F339" s="417"/>
      <c r="G339" s="417"/>
      <c r="H339" s="417"/>
      <c r="I339" s="415"/>
      <c r="J339" s="415"/>
      <c r="K339" s="415"/>
      <c r="L339" s="415"/>
      <c r="M339" s="415"/>
      <c r="N339" s="420"/>
    </row>
    <row r="340" spans="2:14" ht="16.5" customHeight="1" x14ac:dyDescent="0.45">
      <c r="B340" s="413"/>
      <c r="C340" s="414"/>
      <c r="D340" s="415"/>
      <c r="E340" s="416"/>
      <c r="F340" s="417"/>
      <c r="G340" s="417"/>
      <c r="H340" s="417"/>
      <c r="I340" s="415"/>
      <c r="J340" s="415"/>
      <c r="K340" s="415"/>
      <c r="L340" s="415"/>
      <c r="M340" s="415"/>
      <c r="N340" s="420"/>
    </row>
    <row r="341" spans="2:14" ht="16.5" customHeight="1" x14ac:dyDescent="0.45">
      <c r="B341" s="413"/>
      <c r="C341" s="414"/>
      <c r="D341" s="415"/>
      <c r="E341" s="416"/>
      <c r="F341" s="417"/>
      <c r="G341" s="417"/>
      <c r="H341" s="417"/>
      <c r="I341" s="415"/>
      <c r="J341" s="415"/>
      <c r="K341" s="415"/>
      <c r="L341" s="415"/>
      <c r="M341" s="415"/>
      <c r="N341" s="420"/>
    </row>
    <row r="342" spans="2:14" ht="16.5" customHeight="1" x14ac:dyDescent="0.45">
      <c r="B342" s="413"/>
      <c r="C342" s="414"/>
      <c r="D342" s="415"/>
      <c r="E342" s="416"/>
      <c r="F342" s="417"/>
      <c r="G342" s="417"/>
      <c r="H342" s="417"/>
      <c r="I342" s="415"/>
      <c r="J342" s="415"/>
      <c r="K342" s="415"/>
      <c r="L342" s="415"/>
      <c r="M342" s="415"/>
      <c r="N342" s="420"/>
    </row>
    <row r="343" spans="2:14" ht="16.5" customHeight="1" x14ac:dyDescent="0.45">
      <c r="B343" s="413"/>
      <c r="C343" s="414"/>
      <c r="D343" s="415"/>
      <c r="E343" s="416"/>
      <c r="F343" s="417"/>
      <c r="G343" s="417"/>
      <c r="H343" s="417"/>
      <c r="I343" s="415"/>
      <c r="J343" s="415"/>
      <c r="K343" s="415"/>
      <c r="L343" s="415"/>
      <c r="M343" s="415"/>
      <c r="N343" s="420"/>
    </row>
    <row r="344" spans="2:14" ht="16.5" customHeight="1" x14ac:dyDescent="0.45">
      <c r="B344" s="413"/>
      <c r="C344" s="414"/>
      <c r="D344" s="415"/>
      <c r="E344" s="416"/>
      <c r="F344" s="417"/>
      <c r="G344" s="417"/>
      <c r="H344" s="417"/>
      <c r="I344" s="415"/>
      <c r="J344" s="415"/>
      <c r="K344" s="415"/>
      <c r="L344" s="415"/>
      <c r="M344" s="415"/>
      <c r="N344" s="420"/>
    </row>
    <row r="345" spans="2:14" ht="16.5" customHeight="1" x14ac:dyDescent="0.45">
      <c r="B345" s="413"/>
      <c r="C345" s="414"/>
      <c r="D345" s="415"/>
      <c r="E345" s="416"/>
      <c r="F345" s="417"/>
      <c r="G345" s="417"/>
      <c r="H345" s="417"/>
      <c r="I345" s="415"/>
      <c r="J345" s="415"/>
      <c r="K345" s="415"/>
      <c r="L345" s="415"/>
      <c r="M345" s="415"/>
      <c r="N345" s="420"/>
    </row>
    <row r="346" spans="2:14" ht="16.5" customHeight="1" x14ac:dyDescent="0.45">
      <c r="B346" s="413"/>
      <c r="C346" s="414"/>
      <c r="D346" s="415"/>
      <c r="E346" s="416"/>
      <c r="F346" s="417"/>
      <c r="G346" s="417"/>
      <c r="H346" s="417"/>
      <c r="I346" s="415"/>
      <c r="J346" s="415"/>
      <c r="K346" s="415"/>
      <c r="L346" s="415"/>
      <c r="M346" s="415"/>
      <c r="N346" s="420"/>
    </row>
    <row r="347" spans="2:14" ht="16.5" customHeight="1" x14ac:dyDescent="0.45">
      <c r="B347" s="413"/>
      <c r="C347" s="414"/>
      <c r="D347" s="415"/>
      <c r="E347" s="416"/>
      <c r="F347" s="417"/>
      <c r="G347" s="417"/>
      <c r="H347" s="417"/>
      <c r="I347" s="415"/>
      <c r="J347" s="415"/>
      <c r="K347" s="415"/>
      <c r="L347" s="415"/>
      <c r="M347" s="415"/>
      <c r="N347" s="420"/>
    </row>
    <row r="348" spans="2:14" ht="16.5" customHeight="1" x14ac:dyDescent="0.45">
      <c r="B348" s="413"/>
      <c r="C348" s="414"/>
      <c r="D348" s="415"/>
      <c r="E348" s="416"/>
      <c r="F348" s="417"/>
      <c r="G348" s="417"/>
      <c r="H348" s="417"/>
      <c r="I348" s="415"/>
      <c r="J348" s="415"/>
      <c r="K348" s="415"/>
      <c r="L348" s="415"/>
      <c r="M348" s="415"/>
      <c r="N348" s="420"/>
    </row>
    <row r="349" spans="2:14" ht="16.5" customHeight="1" x14ac:dyDescent="0.45">
      <c r="B349" s="413"/>
      <c r="C349" s="414"/>
      <c r="D349" s="415"/>
      <c r="E349" s="416"/>
      <c r="F349" s="417"/>
      <c r="G349" s="417"/>
      <c r="H349" s="417"/>
      <c r="I349" s="415"/>
      <c r="J349" s="415"/>
      <c r="K349" s="415"/>
      <c r="L349" s="415"/>
      <c r="M349" s="415"/>
      <c r="N349" s="420"/>
    </row>
    <row r="350" spans="2:14" ht="16.5" customHeight="1" x14ac:dyDescent="0.45">
      <c r="B350" s="413"/>
      <c r="C350" s="414"/>
      <c r="D350" s="415"/>
      <c r="E350" s="416"/>
      <c r="F350" s="417"/>
      <c r="G350" s="417"/>
      <c r="H350" s="417"/>
      <c r="I350" s="415"/>
      <c r="J350" s="415"/>
      <c r="K350" s="415"/>
      <c r="L350" s="415"/>
      <c r="M350" s="415"/>
      <c r="N350" s="420"/>
    </row>
    <row r="351" spans="2:14" ht="16.5" customHeight="1" x14ac:dyDescent="0.45">
      <c r="B351" s="413"/>
      <c r="C351" s="414"/>
      <c r="D351" s="415"/>
      <c r="E351" s="416"/>
      <c r="F351" s="417"/>
      <c r="G351" s="417"/>
      <c r="H351" s="417"/>
      <c r="I351" s="415"/>
      <c r="J351" s="415"/>
      <c r="K351" s="415"/>
      <c r="L351" s="415"/>
      <c r="M351" s="415"/>
      <c r="N351" s="420"/>
    </row>
    <row r="352" spans="2:14" ht="16.5" customHeight="1" x14ac:dyDescent="0.45">
      <c r="B352" s="413"/>
      <c r="C352" s="414"/>
      <c r="D352" s="415"/>
      <c r="E352" s="416"/>
      <c r="F352" s="417"/>
      <c r="G352" s="417"/>
      <c r="H352" s="417"/>
      <c r="I352" s="415"/>
      <c r="J352" s="415"/>
      <c r="K352" s="415"/>
      <c r="L352" s="415"/>
      <c r="M352" s="415"/>
      <c r="N352" s="420"/>
    </row>
    <row r="353" spans="2:14" ht="16.5" customHeight="1" x14ac:dyDescent="0.45">
      <c r="B353" s="413"/>
      <c r="C353" s="414"/>
      <c r="D353" s="415"/>
      <c r="E353" s="416"/>
      <c r="F353" s="417"/>
      <c r="G353" s="417"/>
      <c r="H353" s="417"/>
      <c r="I353" s="415"/>
      <c r="J353" s="415"/>
      <c r="K353" s="415"/>
      <c r="L353" s="415"/>
      <c r="M353" s="415"/>
      <c r="N353" s="420"/>
    </row>
    <row r="354" spans="2:14" ht="16.5" customHeight="1" x14ac:dyDescent="0.45">
      <c r="B354" s="413"/>
      <c r="C354" s="414"/>
      <c r="D354" s="415"/>
      <c r="E354" s="416"/>
      <c r="F354" s="417"/>
      <c r="G354" s="417"/>
      <c r="H354" s="417"/>
      <c r="I354" s="415"/>
      <c r="J354" s="415"/>
      <c r="K354" s="415"/>
      <c r="L354" s="415"/>
      <c r="M354" s="415"/>
      <c r="N354" s="420"/>
    </row>
    <row r="355" spans="2:14" ht="16.5" customHeight="1" x14ac:dyDescent="0.45">
      <c r="B355" s="413"/>
      <c r="C355" s="414"/>
      <c r="D355" s="415"/>
      <c r="E355" s="416"/>
      <c r="F355" s="417"/>
      <c r="G355" s="417"/>
      <c r="H355" s="417"/>
      <c r="I355" s="415"/>
      <c r="J355" s="415"/>
      <c r="K355" s="415"/>
      <c r="L355" s="415"/>
      <c r="M355" s="415"/>
      <c r="N355" s="420"/>
    </row>
    <row r="356" spans="2:14" ht="16.5" customHeight="1" x14ac:dyDescent="0.45">
      <c r="B356" s="413"/>
      <c r="C356" s="414"/>
      <c r="D356" s="415"/>
      <c r="E356" s="416"/>
      <c r="F356" s="417"/>
      <c r="G356" s="417"/>
      <c r="H356" s="417"/>
      <c r="I356" s="415"/>
      <c r="J356" s="415"/>
      <c r="K356" s="415"/>
      <c r="L356" s="415"/>
      <c r="M356" s="415"/>
      <c r="N356" s="420"/>
    </row>
    <row r="357" spans="2:14" ht="16.5" customHeight="1" x14ac:dyDescent="0.45">
      <c r="B357" s="413"/>
      <c r="C357" s="414"/>
      <c r="D357" s="415"/>
      <c r="E357" s="416"/>
      <c r="F357" s="417"/>
      <c r="G357" s="417"/>
      <c r="H357" s="417"/>
      <c r="I357" s="415"/>
      <c r="J357" s="415"/>
      <c r="K357" s="415"/>
      <c r="L357" s="415"/>
      <c r="M357" s="415"/>
      <c r="N357" s="420"/>
    </row>
    <row r="358" spans="2:14" ht="16.5" customHeight="1" x14ac:dyDescent="0.45">
      <c r="B358" s="413"/>
      <c r="C358" s="414"/>
      <c r="D358" s="415"/>
      <c r="E358" s="416"/>
      <c r="F358" s="417"/>
      <c r="G358" s="417"/>
      <c r="H358" s="417"/>
      <c r="I358" s="415"/>
      <c r="J358" s="415"/>
      <c r="K358" s="415"/>
      <c r="L358" s="415"/>
      <c r="M358" s="415"/>
      <c r="N358" s="420"/>
    </row>
    <row r="359" spans="2:14" ht="16.5" customHeight="1" x14ac:dyDescent="0.45">
      <c r="B359" s="413"/>
      <c r="C359" s="414"/>
      <c r="D359" s="415"/>
      <c r="E359" s="416"/>
      <c r="F359" s="417"/>
      <c r="G359" s="417"/>
      <c r="H359" s="417"/>
      <c r="I359" s="415"/>
      <c r="J359" s="415"/>
      <c r="K359" s="415"/>
      <c r="L359" s="415"/>
      <c r="M359" s="415"/>
      <c r="N359" s="420"/>
    </row>
    <row r="360" spans="2:14" ht="16.5" customHeight="1" x14ac:dyDescent="0.45">
      <c r="B360" s="413"/>
      <c r="C360" s="414"/>
      <c r="D360" s="415"/>
      <c r="E360" s="416"/>
      <c r="F360" s="417"/>
      <c r="G360" s="417"/>
      <c r="H360" s="417"/>
      <c r="I360" s="415"/>
      <c r="J360" s="415"/>
      <c r="K360" s="415"/>
      <c r="L360" s="415"/>
      <c r="M360" s="415"/>
      <c r="N360" s="420"/>
    </row>
    <row r="361" spans="2:14" ht="16.5" customHeight="1" x14ac:dyDescent="0.45">
      <c r="B361" s="413"/>
      <c r="C361" s="414"/>
      <c r="D361" s="415"/>
      <c r="E361" s="416"/>
      <c r="F361" s="417"/>
      <c r="G361" s="417"/>
      <c r="H361" s="417"/>
      <c r="I361" s="415"/>
      <c r="J361" s="415"/>
      <c r="K361" s="415"/>
      <c r="L361" s="415"/>
      <c r="M361" s="415"/>
      <c r="N361" s="420"/>
    </row>
    <row r="362" spans="2:14" ht="16.5" customHeight="1" x14ac:dyDescent="0.45">
      <c r="B362" s="413"/>
      <c r="C362" s="414"/>
      <c r="D362" s="415"/>
      <c r="E362" s="416"/>
      <c r="F362" s="417"/>
      <c r="G362" s="417"/>
      <c r="H362" s="417"/>
      <c r="I362" s="415"/>
      <c r="J362" s="415"/>
      <c r="K362" s="415"/>
      <c r="L362" s="415"/>
      <c r="M362" s="415"/>
      <c r="N362" s="420"/>
    </row>
    <row r="363" spans="2:14" ht="16.5" customHeight="1" x14ac:dyDescent="0.45">
      <c r="B363" s="413"/>
      <c r="C363" s="414"/>
      <c r="D363" s="415"/>
      <c r="E363" s="416"/>
      <c r="F363" s="417"/>
      <c r="G363" s="417"/>
      <c r="H363" s="417"/>
      <c r="I363" s="415"/>
      <c r="J363" s="415"/>
      <c r="K363" s="415"/>
      <c r="L363" s="415"/>
      <c r="M363" s="415"/>
      <c r="N363" s="420"/>
    </row>
    <row r="364" spans="2:14" ht="16.5" customHeight="1" x14ac:dyDescent="0.45">
      <c r="B364" s="413"/>
      <c r="C364" s="414"/>
      <c r="D364" s="415"/>
      <c r="E364" s="416"/>
      <c r="F364" s="417"/>
      <c r="G364" s="417"/>
      <c r="H364" s="417"/>
      <c r="I364" s="415"/>
      <c r="J364" s="415"/>
      <c r="K364" s="415"/>
      <c r="L364" s="415"/>
      <c r="M364" s="415"/>
      <c r="N364" s="420"/>
    </row>
    <row r="365" spans="2:14" ht="16.5" customHeight="1" x14ac:dyDescent="0.45">
      <c r="B365" s="413"/>
      <c r="C365" s="414"/>
      <c r="D365" s="415"/>
      <c r="E365" s="416"/>
      <c r="F365" s="417"/>
      <c r="G365" s="417"/>
      <c r="H365" s="417"/>
      <c r="I365" s="415"/>
      <c r="J365" s="415"/>
      <c r="K365" s="415"/>
      <c r="L365" s="415"/>
      <c r="M365" s="415"/>
      <c r="N365" s="420"/>
    </row>
    <row r="366" spans="2:14" ht="16.5" customHeight="1" x14ac:dyDescent="0.45">
      <c r="B366" s="413"/>
      <c r="C366" s="414"/>
      <c r="D366" s="415"/>
      <c r="E366" s="416"/>
      <c r="F366" s="417"/>
      <c r="G366" s="417"/>
      <c r="H366" s="417"/>
      <c r="I366" s="415"/>
      <c r="J366" s="415"/>
      <c r="K366" s="415"/>
      <c r="L366" s="415"/>
      <c r="M366" s="415"/>
      <c r="N366" s="420"/>
    </row>
    <row r="367" spans="2:14" ht="16.5" customHeight="1" x14ac:dyDescent="0.45">
      <c r="B367" s="413"/>
      <c r="C367" s="414"/>
      <c r="D367" s="415"/>
      <c r="E367" s="416"/>
      <c r="F367" s="417"/>
      <c r="G367" s="417"/>
      <c r="H367" s="417"/>
      <c r="I367" s="415"/>
      <c r="J367" s="415"/>
      <c r="K367" s="415"/>
      <c r="L367" s="415"/>
      <c r="M367" s="415"/>
      <c r="N367" s="420"/>
    </row>
    <row r="368" spans="2:14" ht="16.5" customHeight="1" x14ac:dyDescent="0.45">
      <c r="B368" s="413"/>
      <c r="C368" s="414"/>
      <c r="D368" s="415"/>
      <c r="E368" s="416"/>
      <c r="F368" s="417"/>
      <c r="G368" s="417"/>
      <c r="H368" s="417"/>
      <c r="I368" s="415"/>
      <c r="J368" s="415"/>
      <c r="K368" s="415"/>
      <c r="L368" s="415"/>
      <c r="M368" s="415"/>
      <c r="N368" s="420"/>
    </row>
    <row r="369" spans="2:14" ht="16.5" customHeight="1" x14ac:dyDescent="0.45">
      <c r="B369" s="413"/>
      <c r="C369" s="414"/>
      <c r="D369" s="415"/>
      <c r="E369" s="416"/>
      <c r="F369" s="417"/>
      <c r="G369" s="417"/>
      <c r="H369" s="417"/>
      <c r="I369" s="415"/>
      <c r="J369" s="415"/>
      <c r="K369" s="415"/>
      <c r="L369" s="415"/>
      <c r="M369" s="415"/>
      <c r="N369" s="420"/>
    </row>
    <row r="370" spans="2:14" ht="16.5" customHeight="1" x14ac:dyDescent="0.45">
      <c r="B370" s="413"/>
      <c r="C370" s="414"/>
      <c r="D370" s="415"/>
      <c r="E370" s="416"/>
      <c r="F370" s="417"/>
      <c r="G370" s="417"/>
      <c r="H370" s="417"/>
      <c r="I370" s="415"/>
      <c r="J370" s="415"/>
      <c r="K370" s="415"/>
      <c r="L370" s="415"/>
      <c r="M370" s="415"/>
      <c r="N370" s="420"/>
    </row>
    <row r="371" spans="2:14" ht="16.5" customHeight="1" x14ac:dyDescent="0.45">
      <c r="B371" s="413"/>
      <c r="C371" s="414"/>
      <c r="D371" s="415"/>
      <c r="E371" s="416"/>
      <c r="F371" s="417"/>
      <c r="G371" s="417"/>
      <c r="H371" s="417"/>
      <c r="I371" s="415"/>
      <c r="J371" s="415"/>
      <c r="K371" s="415"/>
      <c r="L371" s="415"/>
      <c r="M371" s="415"/>
      <c r="N371" s="420"/>
    </row>
    <row r="372" spans="2:14" ht="16.5" customHeight="1" x14ac:dyDescent="0.45">
      <c r="B372" s="413"/>
      <c r="C372" s="414"/>
      <c r="D372" s="415"/>
      <c r="E372" s="416"/>
      <c r="F372" s="417"/>
      <c r="G372" s="417"/>
      <c r="H372" s="417"/>
      <c r="I372" s="415"/>
      <c r="J372" s="415"/>
      <c r="K372" s="415"/>
      <c r="L372" s="415"/>
      <c r="M372" s="415"/>
      <c r="N372" s="420"/>
    </row>
    <row r="373" spans="2:14" ht="16.5" customHeight="1" x14ac:dyDescent="0.45">
      <c r="B373" s="413"/>
      <c r="C373" s="414"/>
      <c r="D373" s="415"/>
      <c r="E373" s="416"/>
      <c r="F373" s="417"/>
      <c r="G373" s="417"/>
      <c r="H373" s="417"/>
      <c r="I373" s="415"/>
      <c r="J373" s="415"/>
      <c r="K373" s="415"/>
      <c r="L373" s="415"/>
      <c r="M373" s="415"/>
      <c r="N373" s="420"/>
    </row>
    <row r="374" spans="2:14" ht="16.5" customHeight="1" x14ac:dyDescent="0.45">
      <c r="B374" s="413"/>
      <c r="C374" s="414"/>
      <c r="D374" s="415"/>
      <c r="E374" s="416"/>
      <c r="F374" s="417"/>
      <c r="G374" s="417"/>
      <c r="H374" s="417"/>
      <c r="I374" s="415"/>
      <c r="J374" s="415"/>
      <c r="K374" s="415"/>
      <c r="L374" s="415"/>
      <c r="M374" s="415"/>
      <c r="N374" s="420"/>
    </row>
    <row r="375" spans="2:14" ht="16.5" customHeight="1" x14ac:dyDescent="0.45">
      <c r="B375" s="413"/>
      <c r="C375" s="414"/>
      <c r="D375" s="415"/>
      <c r="E375" s="416"/>
      <c r="F375" s="417"/>
      <c r="G375" s="417"/>
      <c r="H375" s="417"/>
      <c r="I375" s="415"/>
      <c r="J375" s="415"/>
      <c r="K375" s="415"/>
      <c r="L375" s="415"/>
      <c r="M375" s="415"/>
      <c r="N375" s="420"/>
    </row>
    <row r="376" spans="2:14" ht="16.5" customHeight="1" x14ac:dyDescent="0.45">
      <c r="B376" s="413"/>
      <c r="C376" s="414"/>
      <c r="D376" s="415"/>
      <c r="E376" s="416"/>
      <c r="F376" s="417"/>
      <c r="G376" s="417"/>
      <c r="H376" s="417"/>
      <c r="I376" s="415"/>
      <c r="J376" s="415"/>
      <c r="K376" s="415"/>
      <c r="L376" s="415"/>
      <c r="M376" s="415"/>
      <c r="N376" s="420"/>
    </row>
    <row r="377" spans="2:14" ht="16.5" customHeight="1" x14ac:dyDescent="0.45">
      <c r="B377" s="413"/>
      <c r="C377" s="414"/>
      <c r="D377" s="415"/>
      <c r="E377" s="416"/>
      <c r="F377" s="417"/>
      <c r="G377" s="417"/>
      <c r="H377" s="417"/>
      <c r="I377" s="415"/>
      <c r="J377" s="415"/>
      <c r="K377" s="415"/>
      <c r="L377" s="415"/>
      <c r="M377" s="415"/>
      <c r="N377" s="420"/>
    </row>
    <row r="378" spans="2:14" ht="16.5" customHeight="1" x14ac:dyDescent="0.45">
      <c r="B378" s="413"/>
      <c r="C378" s="414"/>
      <c r="D378" s="415"/>
      <c r="E378" s="416"/>
      <c r="F378" s="417"/>
      <c r="G378" s="417"/>
      <c r="H378" s="417"/>
      <c r="I378" s="415"/>
      <c r="J378" s="415"/>
      <c r="K378" s="415"/>
      <c r="L378" s="415"/>
      <c r="M378" s="415"/>
      <c r="N378" s="420"/>
    </row>
    <row r="379" spans="2:14" ht="16.5" customHeight="1" x14ac:dyDescent="0.45">
      <c r="B379" s="413"/>
      <c r="C379" s="414"/>
      <c r="D379" s="415"/>
      <c r="E379" s="416"/>
      <c r="F379" s="417"/>
      <c r="G379" s="417"/>
      <c r="H379" s="417"/>
      <c r="I379" s="415"/>
      <c r="J379" s="415"/>
      <c r="K379" s="415"/>
      <c r="L379" s="415"/>
      <c r="M379" s="415"/>
      <c r="N379" s="420"/>
    </row>
    <row r="380" spans="2:14" ht="16.5" customHeight="1" x14ac:dyDescent="0.45">
      <c r="B380" s="413"/>
      <c r="C380" s="414"/>
      <c r="D380" s="415"/>
      <c r="E380" s="416"/>
      <c r="F380" s="417"/>
      <c r="G380" s="417"/>
      <c r="H380" s="417"/>
      <c r="I380" s="415"/>
      <c r="J380" s="415"/>
      <c r="K380" s="415"/>
      <c r="L380" s="415"/>
      <c r="M380" s="415"/>
      <c r="N380" s="420"/>
    </row>
    <row r="381" spans="2:14" ht="16.5" customHeight="1" x14ac:dyDescent="0.45">
      <c r="B381" s="413"/>
      <c r="C381" s="414"/>
      <c r="D381" s="415"/>
      <c r="E381" s="416"/>
      <c r="F381" s="417"/>
      <c r="G381" s="417"/>
      <c r="H381" s="417"/>
      <c r="I381" s="415"/>
      <c r="J381" s="415"/>
      <c r="K381" s="415"/>
      <c r="L381" s="415"/>
      <c r="M381" s="415"/>
      <c r="N381" s="420"/>
    </row>
    <row r="382" spans="2:14" ht="16.5" customHeight="1" x14ac:dyDescent="0.45">
      <c r="B382" s="413"/>
      <c r="C382" s="414"/>
      <c r="D382" s="415"/>
      <c r="E382" s="416"/>
      <c r="F382" s="417"/>
      <c r="G382" s="417"/>
      <c r="H382" s="417"/>
      <c r="I382" s="415"/>
      <c r="J382" s="415"/>
      <c r="K382" s="415"/>
      <c r="L382" s="415"/>
      <c r="M382" s="415"/>
      <c r="N382" s="420"/>
    </row>
    <row r="383" spans="2:14" ht="16.5" customHeight="1" x14ac:dyDescent="0.45">
      <c r="B383" s="413"/>
      <c r="C383" s="414"/>
      <c r="D383" s="415"/>
      <c r="E383" s="416"/>
      <c r="F383" s="417"/>
      <c r="G383" s="417"/>
      <c r="H383" s="417"/>
      <c r="I383" s="415"/>
      <c r="J383" s="415"/>
      <c r="K383" s="415"/>
      <c r="L383" s="415"/>
      <c r="M383" s="415"/>
      <c r="N383" s="420"/>
    </row>
    <row r="384" spans="2:14" ht="16.5" customHeight="1" x14ac:dyDescent="0.45">
      <c r="B384" s="413"/>
      <c r="C384" s="414"/>
      <c r="D384" s="415"/>
      <c r="E384" s="416"/>
      <c r="F384" s="417"/>
      <c r="G384" s="417"/>
      <c r="H384" s="417"/>
      <c r="I384" s="415"/>
      <c r="J384" s="415"/>
      <c r="K384" s="415"/>
      <c r="L384" s="415"/>
      <c r="M384" s="415"/>
      <c r="N384" s="420"/>
    </row>
    <row r="385" spans="2:14" ht="16.5" customHeight="1" x14ac:dyDescent="0.45">
      <c r="B385" s="413"/>
      <c r="C385" s="414"/>
      <c r="D385" s="415"/>
      <c r="E385" s="416"/>
      <c r="F385" s="417"/>
      <c r="G385" s="417"/>
      <c r="H385" s="417"/>
      <c r="I385" s="415"/>
      <c r="J385" s="415"/>
      <c r="K385" s="415"/>
      <c r="L385" s="415"/>
      <c r="M385" s="415"/>
      <c r="N385" s="420"/>
    </row>
    <row r="386" spans="2:14" ht="16.5" customHeight="1" x14ac:dyDescent="0.45">
      <c r="B386" s="413"/>
      <c r="C386" s="414"/>
      <c r="D386" s="415"/>
      <c r="E386" s="416"/>
      <c r="F386" s="417"/>
      <c r="G386" s="417"/>
      <c r="H386" s="417"/>
      <c r="I386" s="415"/>
      <c r="J386" s="415"/>
      <c r="K386" s="415"/>
      <c r="L386" s="415"/>
      <c r="M386" s="415"/>
      <c r="N386" s="420"/>
    </row>
    <row r="387" spans="2:14" ht="16.5" customHeight="1" x14ac:dyDescent="0.45">
      <c r="B387" s="413"/>
      <c r="C387" s="414"/>
      <c r="D387" s="415"/>
      <c r="E387" s="416"/>
      <c r="F387" s="417"/>
      <c r="G387" s="417"/>
      <c r="H387" s="417"/>
      <c r="I387" s="415"/>
      <c r="J387" s="415"/>
      <c r="K387" s="415"/>
      <c r="L387" s="415"/>
      <c r="M387" s="415"/>
      <c r="N387" s="420"/>
    </row>
    <row r="388" spans="2:14" ht="16.5" customHeight="1" x14ac:dyDescent="0.45">
      <c r="B388" s="413"/>
      <c r="C388" s="414"/>
      <c r="D388" s="415"/>
      <c r="E388" s="416"/>
      <c r="F388" s="417"/>
      <c r="G388" s="417"/>
      <c r="H388" s="417"/>
      <c r="I388" s="415"/>
      <c r="J388" s="415"/>
      <c r="K388" s="415"/>
      <c r="L388" s="415"/>
      <c r="M388" s="415"/>
      <c r="N388" s="420"/>
    </row>
    <row r="389" spans="2:14" ht="16.5" customHeight="1" x14ac:dyDescent="0.45">
      <c r="B389" s="413"/>
      <c r="C389" s="414"/>
      <c r="D389" s="415"/>
      <c r="E389" s="416"/>
      <c r="F389" s="417"/>
      <c r="G389" s="417"/>
      <c r="H389" s="417"/>
      <c r="I389" s="415"/>
      <c r="J389" s="415"/>
      <c r="K389" s="415"/>
      <c r="L389" s="415"/>
      <c r="M389" s="415"/>
      <c r="N389" s="420"/>
    </row>
    <row r="390" spans="2:14" ht="16.5" customHeight="1" x14ac:dyDescent="0.45">
      <c r="B390" s="413"/>
      <c r="C390" s="414"/>
      <c r="D390" s="415"/>
      <c r="E390" s="416"/>
      <c r="F390" s="417"/>
      <c r="G390" s="417"/>
      <c r="H390" s="417"/>
      <c r="I390" s="415"/>
      <c r="J390" s="415"/>
      <c r="K390" s="415"/>
      <c r="L390" s="415"/>
      <c r="M390" s="415"/>
      <c r="N390" s="420"/>
    </row>
    <row r="391" spans="2:14" ht="16.5" customHeight="1" x14ac:dyDescent="0.45">
      <c r="B391" s="413"/>
      <c r="C391" s="414"/>
      <c r="D391" s="415"/>
      <c r="E391" s="416"/>
      <c r="F391" s="417"/>
      <c r="G391" s="417"/>
      <c r="H391" s="417"/>
      <c r="I391" s="415"/>
      <c r="J391" s="415"/>
      <c r="K391" s="415"/>
      <c r="L391" s="415"/>
      <c r="M391" s="415"/>
      <c r="N391" s="420"/>
    </row>
    <row r="392" spans="2:14" ht="16.5" customHeight="1" x14ac:dyDescent="0.45">
      <c r="B392" s="413"/>
      <c r="C392" s="414"/>
      <c r="D392" s="415"/>
      <c r="E392" s="416"/>
      <c r="F392" s="417"/>
      <c r="G392" s="417"/>
      <c r="H392" s="417"/>
      <c r="I392" s="415"/>
      <c r="J392" s="415"/>
      <c r="K392" s="415"/>
      <c r="L392" s="415"/>
      <c r="M392" s="415"/>
      <c r="N392" s="420"/>
    </row>
    <row r="393" spans="2:14" ht="16.5" customHeight="1" x14ac:dyDescent="0.45">
      <c r="B393" s="413"/>
      <c r="C393" s="414"/>
      <c r="D393" s="415"/>
      <c r="E393" s="416"/>
      <c r="F393" s="417"/>
      <c r="G393" s="417"/>
      <c r="H393" s="417"/>
      <c r="I393" s="415"/>
      <c r="J393" s="415"/>
      <c r="K393" s="415"/>
      <c r="L393" s="415"/>
      <c r="M393" s="415"/>
      <c r="N393" s="420"/>
    </row>
    <row r="394" spans="2:14" ht="16.5" customHeight="1" x14ac:dyDescent="0.45">
      <c r="B394" s="413"/>
      <c r="C394" s="414"/>
      <c r="D394" s="415"/>
      <c r="E394" s="416"/>
      <c r="F394" s="417"/>
      <c r="G394" s="417"/>
      <c r="H394" s="417"/>
      <c r="I394" s="415"/>
      <c r="J394" s="415"/>
      <c r="K394" s="415"/>
      <c r="L394" s="415"/>
      <c r="M394" s="415"/>
      <c r="N394" s="420"/>
    </row>
    <row r="395" spans="2:14" ht="16.5" customHeight="1" x14ac:dyDescent="0.45">
      <c r="B395" s="413"/>
      <c r="C395" s="414"/>
      <c r="D395" s="415"/>
      <c r="E395" s="416"/>
      <c r="F395" s="417"/>
      <c r="G395" s="417"/>
      <c r="H395" s="417"/>
      <c r="I395" s="415"/>
      <c r="J395" s="415"/>
      <c r="K395" s="415"/>
      <c r="L395" s="415"/>
      <c r="M395" s="415"/>
      <c r="N395" s="420"/>
    </row>
    <row r="396" spans="2:14" ht="16.5" customHeight="1" x14ac:dyDescent="0.45">
      <c r="B396" s="413"/>
      <c r="C396" s="414"/>
      <c r="D396" s="415"/>
      <c r="E396" s="416"/>
      <c r="F396" s="417"/>
      <c r="G396" s="417"/>
      <c r="H396" s="417"/>
      <c r="I396" s="415"/>
      <c r="J396" s="415"/>
      <c r="K396" s="415"/>
      <c r="L396" s="415"/>
      <c r="M396" s="415"/>
      <c r="N396" s="420"/>
    </row>
    <row r="397" spans="2:14" ht="16.5" customHeight="1" x14ac:dyDescent="0.45">
      <c r="B397" s="413"/>
      <c r="C397" s="414"/>
      <c r="D397" s="415"/>
      <c r="E397" s="416"/>
      <c r="F397" s="417"/>
      <c r="G397" s="417"/>
      <c r="H397" s="417"/>
      <c r="I397" s="415"/>
      <c r="J397" s="415"/>
      <c r="K397" s="415"/>
      <c r="L397" s="415"/>
      <c r="M397" s="415"/>
      <c r="N397" s="420"/>
    </row>
    <row r="398" spans="2:14" ht="16.5" customHeight="1" x14ac:dyDescent="0.45">
      <c r="B398" s="413"/>
      <c r="C398" s="414"/>
      <c r="D398" s="415"/>
      <c r="E398" s="416"/>
      <c r="F398" s="417"/>
      <c r="G398" s="417"/>
      <c r="H398" s="417"/>
      <c r="I398" s="415"/>
      <c r="J398" s="415"/>
      <c r="K398" s="415"/>
      <c r="L398" s="415"/>
      <c r="M398" s="415"/>
      <c r="N398" s="420"/>
    </row>
    <row r="399" spans="2:14" ht="16.5" customHeight="1" x14ac:dyDescent="0.45">
      <c r="B399" s="413"/>
      <c r="C399" s="414"/>
      <c r="D399" s="415"/>
      <c r="E399" s="416"/>
      <c r="F399" s="417"/>
      <c r="G399" s="417"/>
      <c r="H399" s="417"/>
      <c r="I399" s="415"/>
      <c r="J399" s="415"/>
      <c r="K399" s="415"/>
      <c r="L399" s="415"/>
      <c r="M399" s="415"/>
      <c r="N399" s="420"/>
    </row>
    <row r="400" spans="2:14" ht="16.5" customHeight="1" x14ac:dyDescent="0.45">
      <c r="B400" s="413"/>
      <c r="C400" s="414"/>
      <c r="D400" s="415"/>
      <c r="E400" s="416"/>
      <c r="F400" s="417"/>
      <c r="G400" s="417"/>
      <c r="H400" s="417"/>
      <c r="I400" s="415"/>
      <c r="J400" s="415"/>
      <c r="K400" s="415"/>
      <c r="L400" s="415"/>
      <c r="M400" s="415"/>
      <c r="N400" s="420"/>
    </row>
    <row r="401" spans="2:14" ht="16.5" customHeight="1" x14ac:dyDescent="0.45">
      <c r="B401" s="413"/>
      <c r="C401" s="414"/>
      <c r="D401" s="415"/>
      <c r="E401" s="416"/>
      <c r="F401" s="417"/>
      <c r="G401" s="417"/>
      <c r="H401" s="417"/>
      <c r="I401" s="415"/>
      <c r="J401" s="415"/>
      <c r="K401" s="415"/>
      <c r="L401" s="415"/>
      <c r="M401" s="415"/>
      <c r="N401" s="420"/>
    </row>
    <row r="402" spans="2:14" ht="16.5" customHeight="1" x14ac:dyDescent="0.45">
      <c r="B402" s="413"/>
      <c r="C402" s="414"/>
      <c r="D402" s="415"/>
      <c r="E402" s="416"/>
      <c r="F402" s="417"/>
      <c r="G402" s="417"/>
      <c r="H402" s="417"/>
      <c r="I402" s="415"/>
      <c r="J402" s="415"/>
      <c r="K402" s="415"/>
      <c r="L402" s="415"/>
      <c r="M402" s="415"/>
      <c r="N402" s="420"/>
    </row>
    <row r="403" spans="2:14" ht="16.5" customHeight="1" x14ac:dyDescent="0.45">
      <c r="B403" s="413"/>
      <c r="C403" s="414"/>
      <c r="D403" s="415"/>
      <c r="E403" s="416"/>
      <c r="F403" s="417"/>
      <c r="G403" s="417"/>
      <c r="H403" s="417"/>
      <c r="I403" s="415"/>
      <c r="J403" s="415"/>
      <c r="K403" s="415"/>
      <c r="L403" s="415"/>
      <c r="M403" s="415"/>
      <c r="N403" s="420"/>
    </row>
    <row r="404" spans="2:14" ht="16.5" customHeight="1" x14ac:dyDescent="0.45">
      <c r="B404" s="413"/>
      <c r="C404" s="414"/>
      <c r="D404" s="415"/>
      <c r="E404" s="416"/>
      <c r="F404" s="417"/>
      <c r="G404" s="417"/>
      <c r="H404" s="417"/>
      <c r="I404" s="415"/>
      <c r="J404" s="415"/>
      <c r="K404" s="415"/>
      <c r="L404" s="415"/>
      <c r="M404" s="415"/>
      <c r="N404" s="420"/>
    </row>
    <row r="405" spans="2:14" ht="16.5" customHeight="1" x14ac:dyDescent="0.45">
      <c r="B405" s="413"/>
      <c r="C405" s="414"/>
      <c r="D405" s="415"/>
      <c r="E405" s="416"/>
      <c r="F405" s="417"/>
      <c r="G405" s="417"/>
      <c r="H405" s="417"/>
      <c r="I405" s="415"/>
      <c r="J405" s="415"/>
      <c r="K405" s="415"/>
      <c r="L405" s="415"/>
      <c r="M405" s="415"/>
      <c r="N405" s="420"/>
    </row>
    <row r="406" spans="2:14" ht="16.5" customHeight="1" x14ac:dyDescent="0.45">
      <c r="B406" s="413"/>
      <c r="C406" s="414"/>
      <c r="D406" s="415"/>
      <c r="E406" s="416"/>
      <c r="F406" s="417"/>
      <c r="G406" s="417"/>
      <c r="H406" s="417"/>
      <c r="I406" s="415"/>
      <c r="J406" s="415"/>
      <c r="K406" s="415"/>
      <c r="L406" s="415"/>
      <c r="M406" s="415"/>
      <c r="N406" s="420"/>
    </row>
    <row r="407" spans="2:14" ht="16.5" customHeight="1" x14ac:dyDescent="0.45">
      <c r="B407" s="413"/>
      <c r="C407" s="414"/>
      <c r="D407" s="415"/>
      <c r="E407" s="416"/>
      <c r="F407" s="417"/>
      <c r="G407" s="417"/>
      <c r="H407" s="417"/>
      <c r="I407" s="415"/>
      <c r="J407" s="415"/>
      <c r="K407" s="415"/>
      <c r="L407" s="415"/>
      <c r="M407" s="415"/>
      <c r="N407" s="420"/>
    </row>
    <row r="408" spans="2:14" ht="16.5" customHeight="1" x14ac:dyDescent="0.45">
      <c r="B408" s="413"/>
      <c r="C408" s="414"/>
      <c r="D408" s="415"/>
      <c r="E408" s="416"/>
      <c r="F408" s="417"/>
      <c r="G408" s="417"/>
      <c r="H408" s="417"/>
      <c r="I408" s="415"/>
      <c r="J408" s="415"/>
      <c r="K408" s="415"/>
      <c r="L408" s="415"/>
      <c r="M408" s="415"/>
      <c r="N408" s="420"/>
    </row>
    <row r="409" spans="2:14" ht="16.5" customHeight="1" x14ac:dyDescent="0.45">
      <c r="B409" s="413"/>
      <c r="C409" s="414"/>
      <c r="D409" s="415"/>
      <c r="E409" s="416"/>
      <c r="F409" s="417"/>
      <c r="G409" s="417"/>
      <c r="H409" s="417"/>
      <c r="I409" s="415"/>
      <c r="J409" s="415"/>
      <c r="K409" s="415"/>
      <c r="L409" s="415"/>
      <c r="M409" s="415"/>
      <c r="N409" s="420"/>
    </row>
    <row r="410" spans="2:14" ht="16.5" customHeight="1" x14ac:dyDescent="0.45">
      <c r="B410" s="413"/>
      <c r="C410" s="414"/>
      <c r="D410" s="415"/>
      <c r="E410" s="416"/>
      <c r="F410" s="417"/>
      <c r="G410" s="417"/>
      <c r="H410" s="417"/>
      <c r="I410" s="415"/>
      <c r="J410" s="415"/>
      <c r="K410" s="415"/>
      <c r="L410" s="415"/>
      <c r="M410" s="415"/>
      <c r="N410" s="420"/>
    </row>
    <row r="411" spans="2:14" ht="16.5" customHeight="1" x14ac:dyDescent="0.45">
      <c r="B411" s="413"/>
      <c r="C411" s="414"/>
      <c r="D411" s="415"/>
      <c r="E411" s="416"/>
      <c r="F411" s="417"/>
      <c r="G411" s="417"/>
      <c r="H411" s="417"/>
      <c r="I411" s="415"/>
      <c r="J411" s="415"/>
      <c r="K411" s="415"/>
      <c r="L411" s="415"/>
      <c r="M411" s="415"/>
      <c r="N411" s="420"/>
    </row>
    <row r="412" spans="2:14" ht="16.5" customHeight="1" x14ac:dyDescent="0.45">
      <c r="B412" s="413"/>
      <c r="C412" s="414"/>
      <c r="D412" s="415"/>
      <c r="E412" s="416"/>
      <c r="F412" s="417"/>
      <c r="G412" s="417"/>
      <c r="H412" s="417"/>
      <c r="I412" s="415"/>
      <c r="J412" s="415"/>
      <c r="K412" s="415"/>
      <c r="L412" s="415"/>
      <c r="M412" s="415"/>
      <c r="N412" s="420"/>
    </row>
    <row r="413" spans="2:14" ht="16.5" customHeight="1" x14ac:dyDescent="0.45">
      <c r="B413" s="413"/>
      <c r="C413" s="414"/>
      <c r="D413" s="415"/>
      <c r="E413" s="416"/>
      <c r="F413" s="417"/>
      <c r="G413" s="417"/>
      <c r="H413" s="417"/>
      <c r="I413" s="415"/>
      <c r="J413" s="415"/>
      <c r="K413" s="415"/>
      <c r="L413" s="415"/>
      <c r="M413" s="415"/>
      <c r="N413" s="420"/>
    </row>
    <row r="414" spans="2:14" ht="16.5" customHeight="1" x14ac:dyDescent="0.45">
      <c r="B414" s="413"/>
      <c r="C414" s="414"/>
      <c r="D414" s="415"/>
      <c r="E414" s="416"/>
      <c r="F414" s="417"/>
      <c r="G414" s="417"/>
      <c r="H414" s="417"/>
      <c r="I414" s="415"/>
      <c r="J414" s="415"/>
      <c r="K414" s="415"/>
      <c r="L414" s="415"/>
      <c r="M414" s="415"/>
      <c r="N414" s="420"/>
    </row>
    <row r="415" spans="2:14" ht="16.5" customHeight="1" x14ac:dyDescent="0.45">
      <c r="B415" s="413"/>
      <c r="C415" s="414"/>
      <c r="D415" s="415"/>
      <c r="E415" s="416"/>
      <c r="F415" s="417"/>
      <c r="G415" s="417"/>
      <c r="H415" s="417"/>
      <c r="I415" s="415"/>
      <c r="J415" s="415"/>
      <c r="K415" s="415"/>
      <c r="L415" s="415"/>
      <c r="M415" s="415"/>
      <c r="N415" s="420"/>
    </row>
    <row r="416" spans="2:14" ht="16.5" customHeight="1" x14ac:dyDescent="0.45">
      <c r="B416" s="413"/>
      <c r="C416" s="414"/>
      <c r="D416" s="415"/>
      <c r="E416" s="416"/>
      <c r="F416" s="417"/>
      <c r="G416" s="417"/>
      <c r="H416" s="417"/>
      <c r="I416" s="415"/>
      <c r="J416" s="415"/>
      <c r="K416" s="415"/>
      <c r="L416" s="415"/>
      <c r="M416" s="415"/>
      <c r="N416" s="420"/>
    </row>
    <row r="417" spans="2:14" ht="16.5" customHeight="1" x14ac:dyDescent="0.45">
      <c r="B417" s="413"/>
      <c r="C417" s="414"/>
      <c r="D417" s="415"/>
      <c r="E417" s="416"/>
      <c r="F417" s="417"/>
      <c r="G417" s="417"/>
      <c r="H417" s="417"/>
      <c r="I417" s="415"/>
      <c r="J417" s="415"/>
      <c r="K417" s="415"/>
      <c r="L417" s="415"/>
      <c r="M417" s="415"/>
      <c r="N417" s="420"/>
    </row>
    <row r="418" spans="2:14" ht="16.5" customHeight="1" x14ac:dyDescent="0.45">
      <c r="B418" s="413"/>
      <c r="C418" s="414"/>
      <c r="D418" s="415"/>
      <c r="E418" s="416"/>
      <c r="F418" s="417"/>
      <c r="G418" s="417"/>
      <c r="H418" s="417"/>
      <c r="I418" s="415"/>
      <c r="J418" s="415"/>
      <c r="K418" s="415"/>
      <c r="L418" s="415"/>
      <c r="M418" s="415"/>
      <c r="N418" s="420"/>
    </row>
    <row r="419" spans="2:14" ht="16.5" customHeight="1" x14ac:dyDescent="0.45">
      <c r="B419" s="413"/>
      <c r="C419" s="414"/>
      <c r="D419" s="415"/>
      <c r="E419" s="416"/>
      <c r="F419" s="417"/>
      <c r="G419" s="417"/>
      <c r="H419" s="417"/>
      <c r="I419" s="415"/>
      <c r="J419" s="415"/>
      <c r="K419" s="415"/>
      <c r="L419" s="415"/>
      <c r="M419" s="415"/>
      <c r="N419" s="420"/>
    </row>
    <row r="420" spans="2:14" ht="16.5" customHeight="1" x14ac:dyDescent="0.45">
      <c r="B420" s="413"/>
      <c r="C420" s="414"/>
      <c r="D420" s="415"/>
      <c r="E420" s="416"/>
      <c r="F420" s="417"/>
      <c r="G420" s="417"/>
      <c r="H420" s="417"/>
      <c r="I420" s="415"/>
      <c r="J420" s="415"/>
      <c r="K420" s="415"/>
      <c r="L420" s="415"/>
      <c r="M420" s="415"/>
      <c r="N420" s="420"/>
    </row>
    <row r="421" spans="2:14" ht="16.5" customHeight="1" x14ac:dyDescent="0.45">
      <c r="B421" s="413"/>
      <c r="C421" s="414"/>
      <c r="D421" s="415"/>
      <c r="E421" s="416"/>
      <c r="F421" s="417"/>
      <c r="G421" s="417"/>
      <c r="H421" s="417"/>
      <c r="I421" s="415"/>
      <c r="J421" s="415"/>
      <c r="K421" s="415"/>
      <c r="L421" s="415"/>
      <c r="M421" s="415"/>
      <c r="N421" s="420"/>
    </row>
    <row r="422" spans="2:14" ht="16.5" customHeight="1" x14ac:dyDescent="0.45">
      <c r="B422" s="413"/>
      <c r="C422" s="414"/>
      <c r="D422" s="415"/>
      <c r="E422" s="416"/>
      <c r="F422" s="417"/>
      <c r="G422" s="417"/>
      <c r="H422" s="417"/>
      <c r="I422" s="415"/>
      <c r="J422" s="415"/>
      <c r="K422" s="415"/>
      <c r="L422" s="415"/>
      <c r="M422" s="415"/>
      <c r="N422" s="420"/>
    </row>
    <row r="423" spans="2:14" ht="16.5" customHeight="1" x14ac:dyDescent="0.45">
      <c r="B423" s="413"/>
      <c r="C423" s="414"/>
      <c r="D423" s="415"/>
      <c r="E423" s="416"/>
      <c r="F423" s="417"/>
      <c r="G423" s="417"/>
      <c r="H423" s="417"/>
      <c r="I423" s="415"/>
      <c r="J423" s="415"/>
      <c r="K423" s="415"/>
      <c r="L423" s="415"/>
      <c r="M423" s="415"/>
      <c r="N423" s="420"/>
    </row>
    <row r="424" spans="2:14" ht="16.5" customHeight="1" x14ac:dyDescent="0.45">
      <c r="B424" s="413"/>
      <c r="C424" s="414"/>
      <c r="D424" s="415"/>
      <c r="E424" s="416"/>
      <c r="F424" s="417"/>
      <c r="G424" s="417"/>
      <c r="H424" s="417"/>
      <c r="I424" s="415"/>
      <c r="J424" s="415"/>
      <c r="K424" s="415"/>
      <c r="L424" s="415"/>
      <c r="M424" s="415"/>
      <c r="N424" s="420"/>
    </row>
    <row r="425" spans="2:14" ht="16.5" customHeight="1" x14ac:dyDescent="0.45">
      <c r="B425" s="413"/>
      <c r="C425" s="414"/>
      <c r="D425" s="415"/>
      <c r="E425" s="416"/>
      <c r="F425" s="417"/>
      <c r="G425" s="417"/>
      <c r="H425" s="417"/>
      <c r="I425" s="415"/>
      <c r="J425" s="415"/>
      <c r="K425" s="415"/>
      <c r="L425" s="415"/>
      <c r="M425" s="415"/>
      <c r="N425" s="420"/>
    </row>
    <row r="426" spans="2:14" ht="16.5" customHeight="1" x14ac:dyDescent="0.45">
      <c r="B426" s="413"/>
      <c r="C426" s="414"/>
      <c r="D426" s="415"/>
      <c r="E426" s="416"/>
      <c r="F426" s="417"/>
      <c r="G426" s="417"/>
      <c r="H426" s="417"/>
      <c r="I426" s="415"/>
      <c r="J426" s="415"/>
      <c r="K426" s="415"/>
      <c r="L426" s="415"/>
      <c r="M426" s="415"/>
      <c r="N426" s="420"/>
    </row>
    <row r="427" spans="2:14" ht="16.5" customHeight="1" x14ac:dyDescent="0.45">
      <c r="B427" s="413"/>
      <c r="C427" s="414"/>
      <c r="D427" s="415"/>
      <c r="E427" s="416"/>
      <c r="F427" s="417"/>
      <c r="G427" s="417"/>
      <c r="H427" s="417"/>
      <c r="I427" s="415"/>
      <c r="J427" s="415"/>
      <c r="K427" s="415"/>
      <c r="L427" s="415"/>
      <c r="M427" s="415"/>
      <c r="N427" s="420"/>
    </row>
    <row r="428" spans="2:14" ht="16.5" customHeight="1" x14ac:dyDescent="0.45">
      <c r="B428" s="413"/>
      <c r="C428" s="414"/>
      <c r="D428" s="415"/>
      <c r="E428" s="416"/>
      <c r="F428" s="417"/>
      <c r="G428" s="417"/>
      <c r="H428" s="417"/>
      <c r="I428" s="415"/>
      <c r="J428" s="415"/>
      <c r="K428" s="415"/>
      <c r="L428" s="415"/>
      <c r="M428" s="415"/>
      <c r="N428" s="420"/>
    </row>
    <row r="429" spans="2:14" ht="16.5" customHeight="1" x14ac:dyDescent="0.45">
      <c r="B429" s="413"/>
      <c r="C429" s="414"/>
      <c r="D429" s="415"/>
      <c r="E429" s="416"/>
      <c r="F429" s="417"/>
      <c r="G429" s="417"/>
      <c r="H429" s="417"/>
      <c r="I429" s="415"/>
      <c r="J429" s="415"/>
      <c r="K429" s="415"/>
      <c r="L429" s="415"/>
      <c r="M429" s="415"/>
      <c r="N429" s="420"/>
    </row>
    <row r="430" spans="2:14" ht="16.5" customHeight="1" x14ac:dyDescent="0.45">
      <c r="B430" s="413"/>
      <c r="C430" s="414"/>
      <c r="D430" s="415"/>
      <c r="E430" s="416"/>
      <c r="F430" s="417"/>
      <c r="G430" s="417"/>
      <c r="H430" s="417"/>
      <c r="I430" s="415"/>
      <c r="J430" s="415"/>
      <c r="K430" s="415"/>
      <c r="L430" s="415"/>
      <c r="M430" s="415"/>
      <c r="N430" s="420"/>
    </row>
    <row r="431" spans="2:14" ht="16.5" customHeight="1" x14ac:dyDescent="0.45">
      <c r="B431" s="413"/>
      <c r="C431" s="414"/>
      <c r="D431" s="415"/>
      <c r="E431" s="416"/>
      <c r="F431" s="417"/>
      <c r="G431" s="417"/>
      <c r="H431" s="417"/>
      <c r="I431" s="415"/>
      <c r="J431" s="415"/>
      <c r="K431" s="415"/>
      <c r="L431" s="415"/>
      <c r="M431" s="415"/>
      <c r="N431" s="420"/>
    </row>
    <row r="432" spans="2:14" ht="16.5" customHeight="1" x14ac:dyDescent="0.45">
      <c r="B432" s="413"/>
      <c r="C432" s="414"/>
      <c r="D432" s="415"/>
      <c r="E432" s="416"/>
      <c r="F432" s="417"/>
      <c r="G432" s="417"/>
      <c r="H432" s="417"/>
      <c r="I432" s="415"/>
      <c r="J432" s="415"/>
      <c r="K432" s="415"/>
      <c r="L432" s="415"/>
      <c r="M432" s="415"/>
      <c r="N432" s="420"/>
    </row>
    <row r="433" spans="2:14" ht="16.5" customHeight="1" x14ac:dyDescent="0.45">
      <c r="B433" s="413"/>
      <c r="C433" s="414"/>
      <c r="D433" s="415"/>
      <c r="E433" s="416"/>
      <c r="F433" s="417"/>
      <c r="G433" s="417"/>
      <c r="H433" s="417"/>
      <c r="I433" s="415"/>
      <c r="J433" s="415"/>
      <c r="K433" s="415"/>
      <c r="L433" s="415"/>
      <c r="M433" s="415"/>
      <c r="N433" s="420"/>
    </row>
    <row r="434" spans="2:14" ht="16.5" customHeight="1" x14ac:dyDescent="0.45">
      <c r="B434" s="413"/>
      <c r="C434" s="414"/>
      <c r="D434" s="415"/>
      <c r="E434" s="416"/>
      <c r="F434" s="417"/>
      <c r="G434" s="417"/>
      <c r="H434" s="417"/>
      <c r="I434" s="415"/>
      <c r="J434" s="415"/>
      <c r="K434" s="415"/>
      <c r="L434" s="415"/>
      <c r="M434" s="415"/>
      <c r="N434" s="420"/>
    </row>
    <row r="435" spans="2:14" ht="16.5" customHeight="1" x14ac:dyDescent="0.45">
      <c r="B435" s="413"/>
      <c r="C435" s="414"/>
      <c r="D435" s="415"/>
      <c r="E435" s="416"/>
      <c r="F435" s="417"/>
      <c r="G435" s="417"/>
      <c r="H435" s="417"/>
      <c r="I435" s="415"/>
      <c r="J435" s="415"/>
      <c r="K435" s="415"/>
      <c r="L435" s="415"/>
      <c r="M435" s="415"/>
      <c r="N435" s="420"/>
    </row>
    <row r="436" spans="2:14" ht="16.5" customHeight="1" x14ac:dyDescent="0.45">
      <c r="B436" s="413"/>
      <c r="C436" s="414"/>
      <c r="D436" s="415"/>
      <c r="E436" s="416"/>
      <c r="F436" s="417"/>
      <c r="G436" s="417"/>
      <c r="H436" s="417"/>
      <c r="I436" s="415"/>
      <c r="J436" s="415"/>
      <c r="K436" s="415"/>
      <c r="L436" s="415"/>
      <c r="M436" s="415"/>
      <c r="N436" s="420"/>
    </row>
    <row r="437" spans="2:14" ht="16.5" customHeight="1" x14ac:dyDescent="0.45">
      <c r="B437" s="413"/>
      <c r="C437" s="414"/>
      <c r="D437" s="415"/>
      <c r="E437" s="416"/>
      <c r="F437" s="417"/>
      <c r="G437" s="417"/>
      <c r="H437" s="417"/>
      <c r="I437" s="415"/>
      <c r="J437" s="415"/>
      <c r="K437" s="415"/>
      <c r="L437" s="415"/>
      <c r="M437" s="415"/>
      <c r="N437" s="420"/>
    </row>
    <row r="438" spans="2:14" ht="16.5" customHeight="1" x14ac:dyDescent="0.45">
      <c r="B438" s="413"/>
      <c r="C438" s="414"/>
      <c r="D438" s="415"/>
      <c r="E438" s="416"/>
      <c r="F438" s="417"/>
      <c r="G438" s="417"/>
      <c r="H438" s="417"/>
      <c r="I438" s="415"/>
      <c r="J438" s="415"/>
      <c r="K438" s="415"/>
      <c r="L438" s="415"/>
      <c r="M438" s="415"/>
      <c r="N438" s="420"/>
    </row>
    <row r="439" spans="2:14" ht="16.5" customHeight="1" x14ac:dyDescent="0.45">
      <c r="B439" s="413"/>
      <c r="C439" s="414"/>
      <c r="D439" s="415"/>
      <c r="E439" s="416"/>
      <c r="F439" s="417"/>
      <c r="G439" s="417"/>
      <c r="H439" s="417"/>
      <c r="I439" s="415"/>
      <c r="J439" s="415"/>
      <c r="K439" s="415"/>
      <c r="L439" s="415"/>
      <c r="M439" s="415"/>
      <c r="N439" s="420"/>
    </row>
    <row r="440" spans="2:14" ht="16.5" customHeight="1" x14ac:dyDescent="0.45">
      <c r="B440" s="413"/>
      <c r="C440" s="414"/>
      <c r="D440" s="415"/>
      <c r="E440" s="416"/>
      <c r="F440" s="417"/>
      <c r="G440" s="417"/>
      <c r="H440" s="417"/>
      <c r="I440" s="415"/>
      <c r="J440" s="415"/>
      <c r="K440" s="415"/>
      <c r="L440" s="415"/>
      <c r="M440" s="415"/>
      <c r="N440" s="420"/>
    </row>
    <row r="441" spans="2:14" ht="16.5" customHeight="1" x14ac:dyDescent="0.45">
      <c r="B441" s="413"/>
      <c r="C441" s="414"/>
      <c r="D441" s="415"/>
      <c r="E441" s="416"/>
      <c r="F441" s="417"/>
      <c r="G441" s="417"/>
      <c r="H441" s="417"/>
      <c r="I441" s="415"/>
      <c r="J441" s="415"/>
      <c r="K441" s="415"/>
      <c r="L441" s="415"/>
      <c r="M441" s="415"/>
      <c r="N441" s="420"/>
    </row>
    <row r="442" spans="2:14" ht="16.5" customHeight="1" x14ac:dyDescent="0.45">
      <c r="B442" s="413"/>
      <c r="C442" s="414"/>
      <c r="D442" s="415"/>
      <c r="E442" s="416"/>
      <c r="F442" s="417"/>
      <c r="G442" s="417"/>
      <c r="H442" s="417"/>
      <c r="I442" s="415"/>
      <c r="J442" s="415"/>
      <c r="K442" s="415"/>
      <c r="L442" s="415"/>
      <c r="M442" s="415"/>
      <c r="N442" s="420"/>
    </row>
    <row r="443" spans="2:14" ht="16.5" customHeight="1" x14ac:dyDescent="0.45">
      <c r="B443" s="413"/>
      <c r="C443" s="414"/>
      <c r="D443" s="415"/>
      <c r="E443" s="416"/>
      <c r="F443" s="417"/>
      <c r="G443" s="417"/>
      <c r="H443" s="417"/>
      <c r="I443" s="415"/>
      <c r="J443" s="415"/>
      <c r="K443" s="415"/>
      <c r="L443" s="415"/>
      <c r="M443" s="415"/>
      <c r="N443" s="420"/>
    </row>
    <row r="444" spans="2:14" ht="16.5" customHeight="1" x14ac:dyDescent="0.45">
      <c r="B444" s="413"/>
      <c r="C444" s="414"/>
      <c r="D444" s="415"/>
      <c r="E444" s="416"/>
      <c r="F444" s="417"/>
      <c r="G444" s="417"/>
      <c r="H444" s="417"/>
      <c r="I444" s="415"/>
      <c r="J444" s="415"/>
      <c r="K444" s="415"/>
      <c r="L444" s="415"/>
      <c r="M444" s="415"/>
      <c r="N444" s="420"/>
    </row>
    <row r="445" spans="2:14" ht="16.5" customHeight="1" x14ac:dyDescent="0.45">
      <c r="B445" s="413"/>
      <c r="C445" s="414"/>
      <c r="D445" s="415"/>
      <c r="E445" s="416"/>
      <c r="F445" s="417"/>
      <c r="G445" s="417"/>
      <c r="H445" s="417"/>
      <c r="I445" s="415"/>
      <c r="J445" s="415"/>
      <c r="K445" s="415"/>
      <c r="L445" s="415"/>
      <c r="M445" s="415"/>
      <c r="N445" s="420"/>
    </row>
    <row r="446" spans="2:14" ht="16.5" customHeight="1" x14ac:dyDescent="0.45">
      <c r="B446" s="413"/>
      <c r="C446" s="414"/>
      <c r="D446" s="415"/>
      <c r="E446" s="416"/>
      <c r="F446" s="417"/>
      <c r="G446" s="417"/>
      <c r="H446" s="417"/>
      <c r="I446" s="415"/>
      <c r="J446" s="415"/>
      <c r="K446" s="415"/>
      <c r="L446" s="415"/>
      <c r="M446" s="415"/>
      <c r="N446" s="420"/>
    </row>
    <row r="447" spans="2:14" ht="16.5" customHeight="1" x14ac:dyDescent="0.45">
      <c r="B447" s="413"/>
      <c r="C447" s="414"/>
      <c r="D447" s="415"/>
      <c r="E447" s="416"/>
      <c r="F447" s="417"/>
      <c r="G447" s="417"/>
      <c r="H447" s="417"/>
      <c r="I447" s="415"/>
      <c r="J447" s="415"/>
      <c r="K447" s="415"/>
      <c r="L447" s="415"/>
      <c r="M447" s="415"/>
      <c r="N447" s="420"/>
    </row>
    <row r="448" spans="2:14" ht="16.5" customHeight="1" x14ac:dyDescent="0.45">
      <c r="B448" s="413"/>
      <c r="C448" s="414"/>
      <c r="D448" s="415"/>
      <c r="E448" s="416"/>
      <c r="F448" s="417"/>
      <c r="G448" s="417"/>
      <c r="H448" s="417"/>
      <c r="I448" s="415"/>
      <c r="J448" s="415"/>
      <c r="K448" s="415"/>
      <c r="L448" s="415"/>
      <c r="M448" s="415"/>
      <c r="N448" s="420"/>
    </row>
    <row r="449" spans="2:14" ht="16.5" customHeight="1" x14ac:dyDescent="0.45">
      <c r="B449" s="413"/>
      <c r="C449" s="414"/>
      <c r="D449" s="415"/>
      <c r="E449" s="416"/>
      <c r="F449" s="417"/>
      <c r="G449" s="417"/>
      <c r="H449" s="417"/>
      <c r="I449" s="415"/>
      <c r="J449" s="415"/>
      <c r="K449" s="415"/>
      <c r="L449" s="415"/>
      <c r="M449" s="415"/>
      <c r="N449" s="420"/>
    </row>
    <row r="450" spans="2:14" ht="16.5" customHeight="1" x14ac:dyDescent="0.45">
      <c r="B450" s="413"/>
      <c r="C450" s="414"/>
      <c r="D450" s="415"/>
      <c r="E450" s="416"/>
      <c r="F450" s="417"/>
      <c r="G450" s="417"/>
      <c r="H450" s="417"/>
      <c r="I450" s="415"/>
      <c r="J450" s="415"/>
      <c r="K450" s="415"/>
      <c r="L450" s="415"/>
      <c r="M450" s="415"/>
      <c r="N450" s="420"/>
    </row>
    <row r="451" spans="2:14" ht="16.5" customHeight="1" x14ac:dyDescent="0.45">
      <c r="B451" s="413"/>
      <c r="C451" s="414"/>
      <c r="D451" s="415"/>
      <c r="E451" s="416"/>
      <c r="F451" s="417"/>
      <c r="G451" s="417"/>
      <c r="H451" s="417"/>
      <c r="I451" s="415"/>
      <c r="J451" s="415"/>
      <c r="K451" s="415"/>
      <c r="L451" s="415"/>
      <c r="M451" s="415"/>
      <c r="N451" s="420"/>
    </row>
    <row r="452" spans="2:14" ht="16.5" customHeight="1" x14ac:dyDescent="0.45">
      <c r="B452" s="413"/>
      <c r="C452" s="414"/>
      <c r="D452" s="415"/>
      <c r="E452" s="416"/>
      <c r="F452" s="417"/>
      <c r="G452" s="417"/>
      <c r="H452" s="417"/>
      <c r="I452" s="415"/>
      <c r="J452" s="415"/>
      <c r="K452" s="415"/>
      <c r="L452" s="415"/>
      <c r="M452" s="415"/>
      <c r="N452" s="420"/>
    </row>
    <row r="453" spans="2:14" ht="16.5" customHeight="1" x14ac:dyDescent="0.45">
      <c r="B453" s="413"/>
      <c r="C453" s="414"/>
      <c r="D453" s="415"/>
      <c r="E453" s="416"/>
      <c r="F453" s="417"/>
      <c r="G453" s="417"/>
      <c r="H453" s="417"/>
      <c r="I453" s="415"/>
      <c r="J453" s="415"/>
      <c r="K453" s="415"/>
      <c r="L453" s="415"/>
      <c r="M453" s="415"/>
      <c r="N453" s="420"/>
    </row>
    <row r="454" spans="2:14" ht="16.5" customHeight="1" x14ac:dyDescent="0.45">
      <c r="B454" s="413"/>
      <c r="C454" s="414"/>
      <c r="D454" s="415"/>
      <c r="E454" s="416"/>
      <c r="F454" s="417"/>
      <c r="G454" s="417"/>
      <c r="H454" s="417"/>
      <c r="I454" s="415"/>
      <c r="J454" s="415"/>
      <c r="K454" s="415"/>
      <c r="L454" s="415"/>
      <c r="M454" s="415"/>
      <c r="N454" s="420"/>
    </row>
    <row r="455" spans="2:14" ht="16.5" customHeight="1" x14ac:dyDescent="0.45">
      <c r="B455" s="413"/>
      <c r="C455" s="414"/>
      <c r="D455" s="415"/>
      <c r="E455" s="416"/>
      <c r="F455" s="417"/>
      <c r="G455" s="417"/>
      <c r="H455" s="417"/>
      <c r="I455" s="415"/>
      <c r="J455" s="415"/>
      <c r="K455" s="415"/>
      <c r="L455" s="415"/>
      <c r="M455" s="415"/>
      <c r="N455" s="420"/>
    </row>
    <row r="456" spans="2:14" ht="16.5" customHeight="1" x14ac:dyDescent="0.45">
      <c r="B456" s="413"/>
      <c r="C456" s="414"/>
      <c r="D456" s="415"/>
      <c r="E456" s="416"/>
      <c r="F456" s="417"/>
      <c r="G456" s="417"/>
      <c r="H456" s="417"/>
      <c r="I456" s="415"/>
      <c r="J456" s="415"/>
      <c r="K456" s="415"/>
      <c r="L456" s="415"/>
      <c r="M456" s="415"/>
      <c r="N456" s="420"/>
    </row>
    <row r="457" spans="2:14" ht="16.5" customHeight="1" x14ac:dyDescent="0.45">
      <c r="B457" s="413"/>
      <c r="C457" s="414"/>
      <c r="D457" s="415"/>
      <c r="E457" s="416"/>
      <c r="F457" s="417"/>
      <c r="G457" s="417"/>
      <c r="H457" s="417"/>
      <c r="I457" s="415"/>
      <c r="J457" s="415"/>
      <c r="K457" s="415"/>
      <c r="L457" s="415"/>
      <c r="M457" s="415"/>
      <c r="N457" s="420"/>
    </row>
    <row r="458" spans="2:14" ht="16.5" customHeight="1" x14ac:dyDescent="0.45">
      <c r="B458" s="413"/>
      <c r="C458" s="414"/>
      <c r="D458" s="415"/>
      <c r="E458" s="416"/>
      <c r="F458" s="417"/>
      <c r="G458" s="417"/>
      <c r="H458" s="417"/>
      <c r="I458" s="415"/>
      <c r="J458" s="415"/>
      <c r="K458" s="415"/>
      <c r="L458" s="415"/>
      <c r="M458" s="415"/>
      <c r="N458" s="420"/>
    </row>
    <row r="459" spans="2:14" ht="16.5" customHeight="1" x14ac:dyDescent="0.45">
      <c r="B459" s="413"/>
      <c r="C459" s="414"/>
      <c r="D459" s="415"/>
      <c r="E459" s="416"/>
      <c r="F459" s="417"/>
      <c r="G459" s="417"/>
      <c r="H459" s="417"/>
      <c r="I459" s="415"/>
      <c r="J459" s="415"/>
      <c r="K459" s="415"/>
      <c r="L459" s="415"/>
      <c r="M459" s="415"/>
      <c r="N459" s="420"/>
    </row>
    <row r="460" spans="2:14" ht="16.5" customHeight="1" x14ac:dyDescent="0.45">
      <c r="B460" s="413"/>
      <c r="C460" s="414"/>
      <c r="D460" s="415"/>
      <c r="E460" s="416"/>
      <c r="F460" s="417"/>
      <c r="G460" s="417"/>
      <c r="H460" s="417"/>
      <c r="I460" s="415"/>
      <c r="J460" s="415"/>
      <c r="K460" s="415"/>
      <c r="L460" s="415"/>
      <c r="M460" s="415"/>
      <c r="N460" s="420"/>
    </row>
    <row r="461" spans="2:14" ht="16.5" customHeight="1" x14ac:dyDescent="0.45">
      <c r="B461" s="413"/>
      <c r="C461" s="414"/>
      <c r="D461" s="415"/>
      <c r="E461" s="416"/>
      <c r="F461" s="417"/>
      <c r="G461" s="417"/>
      <c r="H461" s="417"/>
      <c r="I461" s="415"/>
      <c r="J461" s="415"/>
      <c r="K461" s="415"/>
      <c r="L461" s="415"/>
      <c r="M461" s="415"/>
      <c r="N461" s="420"/>
    </row>
    <row r="462" spans="2:14" ht="16.5" customHeight="1" x14ac:dyDescent="0.45">
      <c r="B462" s="413"/>
      <c r="C462" s="414"/>
      <c r="D462" s="415"/>
      <c r="E462" s="416"/>
      <c r="F462" s="417"/>
      <c r="G462" s="417"/>
      <c r="H462" s="417"/>
      <c r="I462" s="415"/>
      <c r="J462" s="415"/>
      <c r="K462" s="415"/>
      <c r="L462" s="415"/>
      <c r="M462" s="415"/>
      <c r="N462" s="420"/>
    </row>
    <row r="463" spans="2:14" ht="16.5" customHeight="1" x14ac:dyDescent="0.45">
      <c r="B463" s="413"/>
      <c r="C463" s="414"/>
      <c r="D463" s="415"/>
      <c r="E463" s="416"/>
      <c r="F463" s="417"/>
      <c r="G463" s="417"/>
      <c r="H463" s="417"/>
      <c r="I463" s="415"/>
      <c r="J463" s="415"/>
      <c r="K463" s="415"/>
      <c r="L463" s="415"/>
      <c r="M463" s="415"/>
      <c r="N463" s="420"/>
    </row>
    <row r="464" spans="2:14" ht="16.5" customHeight="1" x14ac:dyDescent="0.45">
      <c r="B464" s="413"/>
      <c r="C464" s="414"/>
      <c r="D464" s="415"/>
      <c r="E464" s="416"/>
      <c r="F464" s="417"/>
      <c r="G464" s="417"/>
      <c r="H464" s="417"/>
      <c r="I464" s="415"/>
      <c r="J464" s="415"/>
      <c r="K464" s="415"/>
      <c r="L464" s="415"/>
      <c r="M464" s="415"/>
      <c r="N464" s="420"/>
    </row>
    <row r="465" spans="2:14" ht="16.5" customHeight="1" x14ac:dyDescent="0.45">
      <c r="B465" s="413"/>
      <c r="C465" s="414"/>
      <c r="D465" s="415"/>
      <c r="E465" s="416"/>
      <c r="F465" s="417"/>
      <c r="G465" s="417"/>
      <c r="H465" s="417"/>
      <c r="I465" s="415"/>
      <c r="J465" s="415"/>
      <c r="K465" s="415"/>
      <c r="L465" s="415"/>
      <c r="M465" s="415"/>
      <c r="N465" s="420"/>
    </row>
    <row r="466" spans="2:14" ht="16.5" customHeight="1" x14ac:dyDescent="0.45">
      <c r="B466" s="413"/>
      <c r="C466" s="414"/>
      <c r="D466" s="415"/>
      <c r="E466" s="416"/>
      <c r="F466" s="417"/>
      <c r="G466" s="417"/>
      <c r="H466" s="417"/>
      <c r="I466" s="415"/>
      <c r="J466" s="415"/>
      <c r="K466" s="415"/>
      <c r="L466" s="415"/>
      <c r="M466" s="415"/>
      <c r="N466" s="420"/>
    </row>
    <row r="467" spans="2:14" ht="16.5" customHeight="1" x14ac:dyDescent="0.45">
      <c r="B467" s="413"/>
      <c r="C467" s="414"/>
      <c r="D467" s="415"/>
      <c r="E467" s="416"/>
      <c r="F467" s="417"/>
      <c r="G467" s="417"/>
      <c r="H467" s="417"/>
      <c r="I467" s="415"/>
      <c r="J467" s="415"/>
      <c r="K467" s="415"/>
      <c r="L467" s="415"/>
      <c r="M467" s="415"/>
      <c r="N467" s="420"/>
    </row>
    <row r="468" spans="2:14" ht="16.5" customHeight="1" x14ac:dyDescent="0.45">
      <c r="B468" s="413"/>
      <c r="C468" s="414"/>
      <c r="D468" s="415"/>
      <c r="E468" s="416"/>
      <c r="F468" s="417"/>
      <c r="G468" s="417"/>
      <c r="H468" s="417"/>
      <c r="I468" s="415"/>
      <c r="J468" s="415"/>
      <c r="K468" s="415"/>
      <c r="L468" s="415"/>
      <c r="M468" s="415"/>
      <c r="N468" s="420"/>
    </row>
    <row r="469" spans="2:14" ht="16.5" customHeight="1" x14ac:dyDescent="0.45">
      <c r="B469" s="413"/>
      <c r="C469" s="414"/>
      <c r="D469" s="415"/>
      <c r="E469" s="416"/>
      <c r="F469" s="417"/>
      <c r="G469" s="417"/>
      <c r="H469" s="417"/>
      <c r="I469" s="415"/>
      <c r="J469" s="415"/>
      <c r="K469" s="415"/>
      <c r="L469" s="415"/>
      <c r="M469" s="415"/>
      <c r="N469" s="420"/>
    </row>
    <row r="470" spans="2:14" ht="16.5" customHeight="1" x14ac:dyDescent="0.45">
      <c r="B470" s="413"/>
      <c r="C470" s="414"/>
      <c r="D470" s="415"/>
      <c r="E470" s="416"/>
      <c r="F470" s="417"/>
      <c r="G470" s="417"/>
      <c r="H470" s="417"/>
      <c r="I470" s="415"/>
      <c r="J470" s="415"/>
      <c r="K470" s="415"/>
      <c r="L470" s="415"/>
      <c r="M470" s="415"/>
      <c r="N470" s="420"/>
    </row>
    <row r="471" spans="2:14" ht="16.5" customHeight="1" x14ac:dyDescent="0.45">
      <c r="B471" s="413"/>
      <c r="C471" s="414"/>
      <c r="D471" s="415"/>
      <c r="E471" s="416"/>
      <c r="F471" s="417"/>
      <c r="G471" s="417"/>
      <c r="H471" s="417"/>
      <c r="I471" s="415"/>
      <c r="J471" s="415"/>
      <c r="K471" s="415"/>
      <c r="L471" s="415"/>
      <c r="M471" s="415"/>
      <c r="N471" s="420"/>
    </row>
    <row r="472" spans="2:14" ht="16.5" customHeight="1" x14ac:dyDescent="0.45">
      <c r="B472" s="413"/>
      <c r="C472" s="414"/>
      <c r="D472" s="415"/>
      <c r="E472" s="416"/>
      <c r="F472" s="417"/>
      <c r="G472" s="417"/>
      <c r="H472" s="417"/>
      <c r="I472" s="415"/>
      <c r="J472" s="415"/>
      <c r="K472" s="415"/>
      <c r="L472" s="415"/>
      <c r="M472" s="415"/>
      <c r="N472" s="420"/>
    </row>
    <row r="473" spans="2:14" ht="16.5" customHeight="1" x14ac:dyDescent="0.45">
      <c r="B473" s="413"/>
      <c r="C473" s="414"/>
      <c r="D473" s="415"/>
      <c r="E473" s="416"/>
      <c r="F473" s="417"/>
      <c r="G473" s="417"/>
      <c r="H473" s="417"/>
      <c r="I473" s="415"/>
      <c r="J473" s="415"/>
      <c r="K473" s="415"/>
      <c r="L473" s="415"/>
      <c r="M473" s="415"/>
      <c r="N473" s="420"/>
    </row>
    <row r="474" spans="2:14" ht="16.5" customHeight="1" x14ac:dyDescent="0.45">
      <c r="B474" s="413"/>
      <c r="C474" s="414"/>
      <c r="D474" s="415"/>
      <c r="E474" s="416"/>
      <c r="F474" s="417"/>
      <c r="G474" s="417"/>
      <c r="H474" s="417"/>
      <c r="I474" s="415"/>
      <c r="J474" s="415"/>
      <c r="K474" s="415"/>
      <c r="L474" s="415"/>
      <c r="M474" s="415"/>
      <c r="N474" s="420"/>
    </row>
    <row r="475" spans="2:14" ht="16.5" customHeight="1" x14ac:dyDescent="0.45">
      <c r="B475" s="413"/>
      <c r="C475" s="414"/>
      <c r="D475" s="415"/>
      <c r="E475" s="416"/>
      <c r="F475" s="417"/>
      <c r="G475" s="417"/>
      <c r="H475" s="417"/>
      <c r="I475" s="415"/>
      <c r="J475" s="415"/>
      <c r="K475" s="415"/>
      <c r="L475" s="415"/>
      <c r="M475" s="415"/>
      <c r="N475" s="420"/>
    </row>
    <row r="476" spans="2:14" ht="16.5" customHeight="1" x14ac:dyDescent="0.45">
      <c r="B476" s="413"/>
      <c r="C476" s="414"/>
      <c r="D476" s="415"/>
      <c r="E476" s="416"/>
      <c r="F476" s="417"/>
      <c r="G476" s="417"/>
      <c r="H476" s="417"/>
      <c r="I476" s="415"/>
      <c r="J476" s="415"/>
      <c r="K476" s="415"/>
      <c r="L476" s="415"/>
      <c r="M476" s="415"/>
      <c r="N476" s="420"/>
    </row>
    <row r="477" spans="2:14" ht="16.5" customHeight="1" x14ac:dyDescent="0.45">
      <c r="B477" s="413"/>
      <c r="C477" s="414"/>
      <c r="D477" s="415"/>
      <c r="E477" s="416"/>
      <c r="F477" s="417"/>
      <c r="G477" s="417"/>
      <c r="H477" s="417"/>
      <c r="I477" s="415"/>
      <c r="J477" s="415"/>
      <c r="K477" s="415"/>
      <c r="L477" s="415"/>
      <c r="M477" s="415"/>
      <c r="N477" s="420"/>
    </row>
    <row r="478" spans="2:14" ht="16.5" customHeight="1" x14ac:dyDescent="0.45">
      <c r="B478" s="413"/>
      <c r="C478" s="414"/>
      <c r="D478" s="415"/>
      <c r="E478" s="416"/>
      <c r="F478" s="417"/>
      <c r="G478" s="417"/>
      <c r="H478" s="417"/>
      <c r="I478" s="415"/>
      <c r="J478" s="415"/>
      <c r="K478" s="415"/>
      <c r="L478" s="415"/>
      <c r="M478" s="415"/>
      <c r="N478" s="420"/>
    </row>
    <row r="479" spans="2:14" ht="16.5" customHeight="1" x14ac:dyDescent="0.45">
      <c r="B479" s="413"/>
      <c r="C479" s="414"/>
      <c r="D479" s="415"/>
      <c r="E479" s="416"/>
      <c r="F479" s="417"/>
      <c r="G479" s="417"/>
      <c r="H479" s="417"/>
      <c r="I479" s="415"/>
      <c r="J479" s="415"/>
      <c r="K479" s="415"/>
      <c r="L479" s="415"/>
      <c r="M479" s="415"/>
      <c r="N479" s="420"/>
    </row>
    <row r="480" spans="2:14" ht="16.5" customHeight="1" x14ac:dyDescent="0.45">
      <c r="B480" s="413"/>
      <c r="C480" s="414"/>
      <c r="D480" s="415"/>
      <c r="E480" s="416"/>
      <c r="F480" s="417"/>
      <c r="G480" s="417"/>
      <c r="H480" s="417"/>
      <c r="I480" s="415"/>
      <c r="J480" s="415"/>
      <c r="K480" s="415"/>
      <c r="L480" s="415"/>
      <c r="M480" s="415"/>
      <c r="N480" s="420"/>
    </row>
    <row r="481" spans="2:14" ht="16.5" customHeight="1" x14ac:dyDescent="0.45">
      <c r="B481" s="413"/>
      <c r="C481" s="414"/>
      <c r="D481" s="415"/>
      <c r="E481" s="416"/>
      <c r="F481" s="417"/>
      <c r="G481" s="417"/>
      <c r="H481" s="417"/>
      <c r="I481" s="415"/>
      <c r="J481" s="415"/>
      <c r="K481" s="415"/>
      <c r="L481" s="415"/>
      <c r="M481" s="415"/>
      <c r="N481" s="420"/>
    </row>
    <row r="482" spans="2:14" ht="16.5" customHeight="1" x14ac:dyDescent="0.45">
      <c r="B482" s="413"/>
      <c r="C482" s="414"/>
      <c r="D482" s="415"/>
      <c r="E482" s="416"/>
      <c r="F482" s="417"/>
      <c r="G482" s="417"/>
      <c r="H482" s="417"/>
      <c r="I482" s="415"/>
      <c r="J482" s="415"/>
      <c r="K482" s="415"/>
      <c r="L482" s="415"/>
      <c r="M482" s="415"/>
      <c r="N482" s="420"/>
    </row>
    <row r="483" spans="2:14" ht="16.5" customHeight="1" x14ac:dyDescent="0.45">
      <c r="B483" s="413"/>
      <c r="C483" s="414"/>
      <c r="D483" s="415"/>
      <c r="E483" s="416"/>
      <c r="F483" s="417"/>
      <c r="G483" s="417"/>
      <c r="H483" s="417"/>
      <c r="I483" s="415"/>
      <c r="J483" s="415"/>
      <c r="K483" s="415"/>
      <c r="L483" s="415"/>
      <c r="M483" s="415"/>
      <c r="N483" s="420"/>
    </row>
    <row r="484" spans="2:14" ht="16.5" customHeight="1" x14ac:dyDescent="0.45">
      <c r="B484" s="413"/>
      <c r="C484" s="414"/>
      <c r="D484" s="415"/>
      <c r="E484" s="416"/>
      <c r="F484" s="417"/>
      <c r="G484" s="417"/>
      <c r="H484" s="417"/>
      <c r="I484" s="415"/>
      <c r="J484" s="415"/>
      <c r="K484" s="415"/>
      <c r="L484" s="415"/>
      <c r="M484" s="415"/>
      <c r="N484" s="420"/>
    </row>
    <row r="485" spans="2:14" ht="16.5" customHeight="1" x14ac:dyDescent="0.45">
      <c r="B485" s="413"/>
      <c r="C485" s="414"/>
      <c r="D485" s="415"/>
      <c r="E485" s="416"/>
      <c r="F485" s="417"/>
      <c r="G485" s="417"/>
      <c r="H485" s="417"/>
      <c r="I485" s="415"/>
      <c r="J485" s="415"/>
      <c r="K485" s="415"/>
      <c r="L485" s="415"/>
      <c r="M485" s="415"/>
      <c r="N485" s="420"/>
    </row>
    <row r="486" spans="2:14" ht="16.5" customHeight="1" x14ac:dyDescent="0.45">
      <c r="B486" s="413"/>
      <c r="C486" s="414"/>
      <c r="D486" s="415"/>
      <c r="E486" s="416"/>
      <c r="F486" s="417"/>
      <c r="G486" s="417"/>
      <c r="H486" s="417"/>
      <c r="I486" s="415"/>
      <c r="J486" s="415"/>
      <c r="K486" s="415"/>
      <c r="L486" s="415"/>
      <c r="M486" s="415"/>
      <c r="N486" s="420"/>
    </row>
    <row r="487" spans="2:14" ht="16.5" customHeight="1" x14ac:dyDescent="0.45">
      <c r="B487" s="413"/>
      <c r="C487" s="414"/>
      <c r="D487" s="415"/>
      <c r="E487" s="416"/>
      <c r="F487" s="417"/>
      <c r="G487" s="417"/>
      <c r="H487" s="417"/>
      <c r="I487" s="415"/>
      <c r="J487" s="415"/>
      <c r="K487" s="415"/>
      <c r="L487" s="415"/>
      <c r="M487" s="415"/>
      <c r="N487" s="420"/>
    </row>
    <row r="488" spans="2:14" ht="16.5" customHeight="1" x14ac:dyDescent="0.45">
      <c r="B488" s="413"/>
      <c r="C488" s="414"/>
      <c r="D488" s="415"/>
      <c r="E488" s="416"/>
      <c r="F488" s="417"/>
      <c r="G488" s="417"/>
      <c r="H488" s="417"/>
      <c r="I488" s="415"/>
      <c r="J488" s="415"/>
      <c r="K488" s="415"/>
      <c r="L488" s="415"/>
      <c r="M488" s="415"/>
      <c r="N488" s="420"/>
    </row>
    <row r="489" spans="2:14" ht="16.5" customHeight="1" x14ac:dyDescent="0.45">
      <c r="B489" s="413"/>
      <c r="C489" s="414"/>
      <c r="D489" s="415"/>
      <c r="E489" s="416"/>
      <c r="F489" s="417"/>
      <c r="G489" s="417"/>
      <c r="H489" s="417"/>
      <c r="I489" s="415"/>
      <c r="J489" s="415"/>
      <c r="K489" s="415"/>
      <c r="L489" s="415"/>
      <c r="M489" s="415"/>
      <c r="N489" s="420"/>
    </row>
    <row r="490" spans="2:14" ht="16.5" customHeight="1" x14ac:dyDescent="0.45">
      <c r="B490" s="413"/>
      <c r="C490" s="414"/>
      <c r="D490" s="415"/>
      <c r="E490" s="416"/>
      <c r="F490" s="417"/>
      <c r="G490" s="417"/>
      <c r="H490" s="417"/>
      <c r="I490" s="415"/>
      <c r="J490" s="415"/>
      <c r="K490" s="415"/>
      <c r="L490" s="415"/>
      <c r="M490" s="415"/>
      <c r="N490" s="420"/>
    </row>
    <row r="491" spans="2:14" ht="16.5" customHeight="1" x14ac:dyDescent="0.45">
      <c r="B491" s="413"/>
      <c r="C491" s="414"/>
      <c r="D491" s="415"/>
      <c r="E491" s="416"/>
      <c r="F491" s="417"/>
      <c r="G491" s="417"/>
      <c r="H491" s="417"/>
      <c r="I491" s="415"/>
      <c r="J491" s="415"/>
      <c r="K491" s="415"/>
      <c r="L491" s="415"/>
      <c r="M491" s="415"/>
      <c r="N491" s="420"/>
    </row>
    <row r="492" spans="2:14" ht="16.5" customHeight="1" x14ac:dyDescent="0.45">
      <c r="B492" s="413"/>
      <c r="C492" s="414"/>
      <c r="D492" s="415"/>
      <c r="E492" s="416"/>
      <c r="F492" s="417"/>
      <c r="G492" s="417"/>
      <c r="H492" s="417"/>
      <c r="I492" s="415"/>
      <c r="J492" s="415"/>
      <c r="K492" s="415"/>
      <c r="L492" s="415"/>
      <c r="M492" s="415"/>
      <c r="N492" s="420"/>
    </row>
    <row r="493" spans="2:14" ht="16.5" customHeight="1" x14ac:dyDescent="0.45">
      <c r="B493" s="413"/>
      <c r="C493" s="414"/>
      <c r="D493" s="415"/>
      <c r="E493" s="416"/>
      <c r="F493" s="417"/>
      <c r="G493" s="417"/>
      <c r="H493" s="417"/>
      <c r="I493" s="415"/>
      <c r="J493" s="415"/>
      <c r="K493" s="415"/>
      <c r="L493" s="415"/>
      <c r="M493" s="415"/>
      <c r="N493" s="420"/>
    </row>
    <row r="494" spans="2:14" ht="16.5" customHeight="1" x14ac:dyDescent="0.45">
      <c r="B494" s="413"/>
      <c r="C494" s="414"/>
      <c r="D494" s="415"/>
      <c r="E494" s="416"/>
      <c r="F494" s="417"/>
      <c r="G494" s="417"/>
      <c r="H494" s="417"/>
      <c r="I494" s="415"/>
      <c r="J494" s="415"/>
      <c r="K494" s="415"/>
      <c r="L494" s="415"/>
      <c r="M494" s="415"/>
      <c r="N494" s="420"/>
    </row>
    <row r="495" spans="2:14" ht="16.5" customHeight="1" x14ac:dyDescent="0.45">
      <c r="B495" s="413"/>
      <c r="C495" s="414"/>
      <c r="D495" s="415"/>
      <c r="E495" s="416"/>
      <c r="F495" s="417"/>
      <c r="G495" s="417"/>
      <c r="H495" s="417"/>
      <c r="I495" s="415"/>
      <c r="J495" s="415"/>
      <c r="K495" s="415"/>
      <c r="L495" s="415"/>
      <c r="M495" s="415"/>
      <c r="N495" s="420"/>
    </row>
    <row r="496" spans="2:14" ht="16.5" customHeight="1" x14ac:dyDescent="0.45">
      <c r="B496" s="413"/>
      <c r="C496" s="414"/>
      <c r="D496" s="415"/>
      <c r="E496" s="416"/>
      <c r="F496" s="417"/>
      <c r="G496" s="417"/>
      <c r="H496" s="417"/>
      <c r="I496" s="415"/>
      <c r="J496" s="415"/>
      <c r="K496" s="415"/>
      <c r="L496" s="415"/>
      <c r="M496" s="415"/>
      <c r="N496" s="420"/>
    </row>
    <row r="497" spans="2:14" ht="16.5" customHeight="1" x14ac:dyDescent="0.45">
      <c r="B497" s="413"/>
      <c r="C497" s="414"/>
      <c r="D497" s="415"/>
      <c r="E497" s="416"/>
      <c r="F497" s="417"/>
      <c r="G497" s="417"/>
      <c r="H497" s="417"/>
      <c r="I497" s="415"/>
      <c r="J497" s="415"/>
      <c r="K497" s="415"/>
      <c r="L497" s="415"/>
      <c r="M497" s="415"/>
      <c r="N497" s="420"/>
    </row>
    <row r="498" spans="2:14" ht="16.5" customHeight="1" x14ac:dyDescent="0.45">
      <c r="B498" s="413"/>
      <c r="C498" s="414"/>
      <c r="D498" s="415"/>
      <c r="E498" s="416"/>
      <c r="F498" s="417"/>
      <c r="G498" s="417"/>
      <c r="H498" s="417"/>
      <c r="I498" s="415"/>
      <c r="J498" s="415"/>
      <c r="K498" s="415"/>
      <c r="L498" s="415"/>
      <c r="M498" s="415"/>
      <c r="N498" s="420"/>
    </row>
    <row r="499" spans="2:14" ht="16.5" customHeight="1" x14ac:dyDescent="0.45">
      <c r="B499" s="413"/>
      <c r="C499" s="414"/>
      <c r="D499" s="415"/>
      <c r="E499" s="416"/>
      <c r="F499" s="417"/>
      <c r="G499" s="417"/>
      <c r="H499" s="417"/>
      <c r="I499" s="415"/>
      <c r="J499" s="415"/>
      <c r="K499" s="415"/>
      <c r="L499" s="415"/>
      <c r="M499" s="415"/>
      <c r="N499" s="420"/>
    </row>
    <row r="500" spans="2:14" ht="16.5" customHeight="1" x14ac:dyDescent="0.45">
      <c r="B500" s="413"/>
      <c r="C500" s="414"/>
      <c r="D500" s="415"/>
      <c r="E500" s="416"/>
      <c r="F500" s="417"/>
      <c r="G500" s="417"/>
      <c r="H500" s="417"/>
      <c r="I500" s="415"/>
      <c r="J500" s="415"/>
      <c r="K500" s="415"/>
      <c r="L500" s="415"/>
      <c r="M500" s="415"/>
      <c r="N500" s="420"/>
    </row>
    <row r="501" spans="2:14" ht="16.5" customHeight="1" x14ac:dyDescent="0.45">
      <c r="B501" s="413"/>
      <c r="C501" s="414"/>
      <c r="D501" s="415"/>
      <c r="E501" s="416"/>
      <c r="F501" s="417"/>
      <c r="G501" s="417"/>
      <c r="H501" s="417"/>
      <c r="I501" s="415"/>
      <c r="J501" s="415"/>
      <c r="K501" s="415"/>
      <c r="L501" s="415"/>
      <c r="M501" s="415"/>
      <c r="N501" s="420"/>
    </row>
    <row r="502" spans="2:14" ht="16.5" customHeight="1" x14ac:dyDescent="0.45">
      <c r="B502" s="413"/>
      <c r="C502" s="414"/>
      <c r="D502" s="415"/>
      <c r="E502" s="416"/>
      <c r="F502" s="417"/>
      <c r="G502" s="417"/>
      <c r="H502" s="417"/>
      <c r="I502" s="415"/>
      <c r="J502" s="415"/>
      <c r="K502" s="415"/>
      <c r="L502" s="415"/>
      <c r="M502" s="415"/>
      <c r="N502" s="420"/>
    </row>
    <row r="503" spans="2:14" ht="16.5" customHeight="1" x14ac:dyDescent="0.45">
      <c r="B503" s="413"/>
      <c r="C503" s="414"/>
      <c r="D503" s="415"/>
      <c r="E503" s="416"/>
      <c r="F503" s="417"/>
      <c r="G503" s="417"/>
      <c r="H503" s="417"/>
      <c r="I503" s="415"/>
      <c r="J503" s="415"/>
      <c r="K503" s="415"/>
      <c r="L503" s="415"/>
      <c r="M503" s="415"/>
      <c r="N503" s="420"/>
    </row>
    <row r="504" spans="2:14" ht="16.5" customHeight="1" x14ac:dyDescent="0.45">
      <c r="B504" s="413"/>
      <c r="C504" s="414"/>
      <c r="D504" s="415"/>
      <c r="E504" s="416"/>
      <c r="F504" s="417"/>
      <c r="G504" s="417"/>
      <c r="H504" s="417"/>
      <c r="I504" s="415"/>
      <c r="J504" s="415"/>
      <c r="K504" s="415"/>
      <c r="L504" s="415"/>
      <c r="M504" s="415"/>
      <c r="N504" s="420"/>
    </row>
    <row r="505" spans="2:14" ht="16.5" customHeight="1" x14ac:dyDescent="0.45">
      <c r="B505" s="413"/>
      <c r="C505" s="414"/>
      <c r="D505" s="415"/>
      <c r="E505" s="416"/>
      <c r="F505" s="417"/>
      <c r="G505" s="417"/>
      <c r="H505" s="417"/>
      <c r="I505" s="415"/>
      <c r="J505" s="415"/>
      <c r="K505" s="415"/>
      <c r="L505" s="415"/>
      <c r="M505" s="415"/>
      <c r="N505" s="420"/>
    </row>
    <row r="506" spans="2:14" ht="16.5" customHeight="1" x14ac:dyDescent="0.45">
      <c r="B506" s="413"/>
      <c r="C506" s="414"/>
      <c r="D506" s="415"/>
      <c r="E506" s="416"/>
      <c r="F506" s="417"/>
      <c r="G506" s="417"/>
      <c r="H506" s="417"/>
      <c r="I506" s="415"/>
      <c r="J506" s="415"/>
      <c r="K506" s="415"/>
      <c r="L506" s="415"/>
      <c r="M506" s="415"/>
      <c r="N506" s="420"/>
    </row>
    <row r="507" spans="2:14" ht="16.5" customHeight="1" x14ac:dyDescent="0.45">
      <c r="B507" s="413"/>
      <c r="C507" s="414"/>
      <c r="D507" s="415"/>
      <c r="E507" s="416"/>
      <c r="F507" s="417"/>
      <c r="G507" s="417"/>
      <c r="H507" s="417"/>
      <c r="I507" s="415"/>
      <c r="J507" s="415"/>
      <c r="K507" s="415"/>
      <c r="L507" s="415"/>
      <c r="M507" s="415"/>
      <c r="N507" s="420"/>
    </row>
    <row r="508" spans="2:14" ht="16.5" customHeight="1" x14ac:dyDescent="0.45">
      <c r="B508" s="413"/>
      <c r="C508" s="414"/>
      <c r="D508" s="415"/>
      <c r="E508" s="416"/>
      <c r="F508" s="417"/>
      <c r="G508" s="417"/>
      <c r="H508" s="417"/>
      <c r="I508" s="415"/>
      <c r="J508" s="415"/>
      <c r="K508" s="415"/>
      <c r="L508" s="415"/>
      <c r="M508" s="415"/>
      <c r="N508" s="420"/>
    </row>
    <row r="509" spans="2:14" ht="16.5" customHeight="1" x14ac:dyDescent="0.45">
      <c r="B509" s="413"/>
      <c r="C509" s="414"/>
      <c r="D509" s="415"/>
      <c r="E509" s="416"/>
      <c r="F509" s="417"/>
      <c r="G509" s="417"/>
      <c r="H509" s="417"/>
      <c r="I509" s="415"/>
      <c r="J509" s="415"/>
      <c r="K509" s="415"/>
      <c r="L509" s="415"/>
      <c r="M509" s="415"/>
      <c r="N509" s="420"/>
    </row>
    <row r="510" spans="2:14" ht="16.5" customHeight="1" x14ac:dyDescent="0.45">
      <c r="B510" s="413"/>
      <c r="C510" s="414"/>
      <c r="D510" s="415"/>
      <c r="E510" s="416"/>
      <c r="F510" s="417"/>
      <c r="G510" s="417"/>
      <c r="H510" s="417"/>
      <c r="I510" s="415"/>
      <c r="J510" s="415"/>
      <c r="K510" s="415"/>
      <c r="L510" s="415"/>
      <c r="M510" s="415"/>
      <c r="N510" s="420"/>
    </row>
    <row r="511" spans="2:14" ht="16.5" customHeight="1" x14ac:dyDescent="0.45">
      <c r="B511" s="413"/>
      <c r="C511" s="414"/>
      <c r="D511" s="415"/>
      <c r="E511" s="416"/>
      <c r="F511" s="417"/>
      <c r="G511" s="417"/>
      <c r="H511" s="417"/>
      <c r="I511" s="415"/>
      <c r="J511" s="415"/>
      <c r="K511" s="415"/>
      <c r="L511" s="415"/>
      <c r="M511" s="415"/>
      <c r="N511" s="420"/>
    </row>
    <row r="512" spans="2:14" ht="16.5" customHeight="1" x14ac:dyDescent="0.45">
      <c r="B512" s="413"/>
      <c r="C512" s="414"/>
      <c r="D512" s="415"/>
      <c r="E512" s="416"/>
      <c r="F512" s="417"/>
      <c r="G512" s="417"/>
      <c r="H512" s="417"/>
      <c r="I512" s="415"/>
      <c r="J512" s="415"/>
      <c r="K512" s="415"/>
      <c r="L512" s="415"/>
      <c r="M512" s="415"/>
      <c r="N512" s="420"/>
    </row>
    <row r="513" spans="2:14" ht="16.5" customHeight="1" x14ac:dyDescent="0.45">
      <c r="B513" s="413"/>
      <c r="C513" s="414"/>
      <c r="D513" s="415"/>
      <c r="E513" s="416"/>
      <c r="F513" s="417"/>
      <c r="G513" s="417"/>
      <c r="H513" s="417"/>
      <c r="I513" s="415"/>
      <c r="J513" s="415"/>
      <c r="K513" s="415"/>
      <c r="L513" s="415"/>
      <c r="M513" s="415"/>
      <c r="N513" s="420"/>
    </row>
    <row r="514" spans="2:14" ht="16.5" customHeight="1" x14ac:dyDescent="0.45">
      <c r="B514" s="413"/>
      <c r="C514" s="414"/>
      <c r="D514" s="415"/>
      <c r="E514" s="416"/>
      <c r="F514" s="417"/>
      <c r="G514" s="417"/>
      <c r="H514" s="417"/>
      <c r="I514" s="415"/>
      <c r="J514" s="415"/>
      <c r="K514" s="415"/>
      <c r="L514" s="415"/>
      <c r="M514" s="415"/>
      <c r="N514" s="420"/>
    </row>
    <row r="515" spans="2:14" ht="16.5" customHeight="1" x14ac:dyDescent="0.45">
      <c r="B515" s="413"/>
      <c r="C515" s="414"/>
      <c r="D515" s="415"/>
      <c r="E515" s="416"/>
      <c r="F515" s="417"/>
      <c r="G515" s="417"/>
      <c r="H515" s="417"/>
      <c r="I515" s="415"/>
      <c r="J515" s="415"/>
      <c r="K515" s="415"/>
      <c r="L515" s="415"/>
      <c r="M515" s="415"/>
      <c r="N515" s="420"/>
    </row>
    <row r="516" spans="2:14" ht="16.5" customHeight="1" x14ac:dyDescent="0.45">
      <c r="B516" s="413"/>
      <c r="C516" s="414"/>
      <c r="D516" s="415"/>
      <c r="E516" s="416"/>
      <c r="F516" s="417"/>
      <c r="G516" s="417"/>
      <c r="H516" s="417"/>
      <c r="I516" s="415"/>
      <c r="J516" s="415"/>
      <c r="K516" s="415"/>
      <c r="L516" s="415"/>
      <c r="M516" s="415"/>
      <c r="N516" s="420"/>
    </row>
    <row r="517" spans="2:14" ht="16.5" customHeight="1" x14ac:dyDescent="0.45">
      <c r="B517" s="413"/>
      <c r="C517" s="414"/>
      <c r="D517" s="415"/>
      <c r="E517" s="416"/>
      <c r="F517" s="417"/>
      <c r="G517" s="417"/>
      <c r="H517" s="417"/>
      <c r="I517" s="415"/>
      <c r="J517" s="415"/>
      <c r="K517" s="415"/>
      <c r="L517" s="415"/>
      <c r="M517" s="415"/>
      <c r="N517" s="420"/>
    </row>
    <row r="518" spans="2:14" ht="16.5" customHeight="1" x14ac:dyDescent="0.45">
      <c r="B518" s="413"/>
      <c r="C518" s="414"/>
      <c r="D518" s="415"/>
      <c r="E518" s="416"/>
      <c r="F518" s="417"/>
      <c r="G518" s="417"/>
      <c r="H518" s="417"/>
      <c r="I518" s="415"/>
      <c r="J518" s="415"/>
      <c r="K518" s="415"/>
      <c r="L518" s="415"/>
      <c r="M518" s="415"/>
      <c r="N518" s="420"/>
    </row>
    <row r="519" spans="2:14" ht="16.5" customHeight="1" x14ac:dyDescent="0.45">
      <c r="B519" s="413"/>
      <c r="C519" s="414"/>
      <c r="D519" s="415"/>
      <c r="E519" s="416"/>
      <c r="F519" s="417"/>
      <c r="G519" s="417"/>
      <c r="H519" s="417"/>
      <c r="I519" s="415"/>
      <c r="J519" s="415"/>
      <c r="K519" s="415"/>
      <c r="L519" s="415"/>
      <c r="M519" s="415"/>
      <c r="N519" s="420"/>
    </row>
    <row r="520" spans="2:14" ht="16.5" customHeight="1" x14ac:dyDescent="0.45">
      <c r="B520" s="413"/>
      <c r="C520" s="414"/>
      <c r="D520" s="415"/>
      <c r="E520" s="416"/>
      <c r="F520" s="417"/>
      <c r="G520" s="417"/>
      <c r="H520" s="417"/>
      <c r="I520" s="415"/>
      <c r="J520" s="415"/>
      <c r="K520" s="415"/>
      <c r="L520" s="415"/>
      <c r="M520" s="415"/>
      <c r="N520" s="420"/>
    </row>
    <row r="521" spans="2:14" ht="16.5" customHeight="1" x14ac:dyDescent="0.45">
      <c r="B521" s="413"/>
      <c r="C521" s="414"/>
      <c r="D521" s="415"/>
      <c r="E521" s="416"/>
      <c r="F521" s="417"/>
      <c r="G521" s="417"/>
      <c r="H521" s="417"/>
      <c r="I521" s="415"/>
      <c r="J521" s="415"/>
      <c r="K521" s="415"/>
      <c r="L521" s="415"/>
      <c r="M521" s="415"/>
      <c r="N521" s="420"/>
    </row>
    <row r="522" spans="2:14" ht="16.5" customHeight="1" x14ac:dyDescent="0.45">
      <c r="B522" s="413"/>
      <c r="C522" s="414"/>
      <c r="D522" s="415"/>
      <c r="E522" s="416"/>
      <c r="F522" s="417"/>
      <c r="G522" s="417"/>
      <c r="H522" s="417"/>
      <c r="I522" s="415"/>
      <c r="J522" s="415"/>
      <c r="K522" s="415"/>
      <c r="L522" s="415"/>
      <c r="M522" s="415"/>
      <c r="N522" s="420"/>
    </row>
    <row r="523" spans="2:14" ht="16.5" customHeight="1" x14ac:dyDescent="0.45">
      <c r="B523" s="413"/>
      <c r="C523" s="414"/>
      <c r="D523" s="415"/>
      <c r="E523" s="416"/>
      <c r="F523" s="417"/>
      <c r="G523" s="417"/>
      <c r="H523" s="417"/>
      <c r="I523" s="415"/>
      <c r="J523" s="415"/>
      <c r="K523" s="415"/>
      <c r="L523" s="415"/>
      <c r="M523" s="415"/>
      <c r="N523" s="420"/>
    </row>
    <row r="524" spans="2:14" ht="16.5" customHeight="1" x14ac:dyDescent="0.45">
      <c r="B524" s="413"/>
      <c r="C524" s="414"/>
      <c r="D524" s="415"/>
      <c r="E524" s="416"/>
      <c r="F524" s="417"/>
      <c r="G524" s="417"/>
      <c r="H524" s="417"/>
      <c r="I524" s="415"/>
      <c r="J524" s="415"/>
      <c r="K524" s="415"/>
      <c r="L524" s="415"/>
      <c r="M524" s="415"/>
      <c r="N524" s="420"/>
    </row>
    <row r="525" spans="2:14" ht="16.5" customHeight="1" x14ac:dyDescent="0.45">
      <c r="B525" s="413"/>
      <c r="C525" s="414"/>
      <c r="D525" s="415"/>
      <c r="E525" s="416"/>
      <c r="F525" s="417"/>
      <c r="G525" s="417"/>
      <c r="H525" s="417"/>
      <c r="I525" s="415"/>
      <c r="J525" s="415"/>
      <c r="K525" s="415"/>
      <c r="L525" s="415"/>
      <c r="M525" s="415"/>
      <c r="N525" s="420"/>
    </row>
    <row r="526" spans="2:14" ht="16.5" customHeight="1" x14ac:dyDescent="0.45">
      <c r="B526" s="413"/>
      <c r="C526" s="414"/>
      <c r="D526" s="415"/>
      <c r="E526" s="416"/>
      <c r="F526" s="417"/>
      <c r="G526" s="417"/>
      <c r="H526" s="417"/>
      <c r="I526" s="415"/>
      <c r="J526" s="415"/>
      <c r="K526" s="415"/>
      <c r="L526" s="415"/>
      <c r="M526" s="415"/>
      <c r="N526" s="420"/>
    </row>
    <row r="527" spans="2:14" ht="16.5" customHeight="1" x14ac:dyDescent="0.45">
      <c r="B527" s="413"/>
      <c r="C527" s="414"/>
      <c r="D527" s="415"/>
      <c r="E527" s="416"/>
      <c r="F527" s="417"/>
      <c r="G527" s="417"/>
      <c r="H527" s="417"/>
      <c r="I527" s="415"/>
      <c r="J527" s="415"/>
      <c r="K527" s="415"/>
      <c r="L527" s="415"/>
      <c r="M527" s="415"/>
      <c r="N527" s="420"/>
    </row>
    <row r="528" spans="2:14" ht="16.5" customHeight="1" x14ac:dyDescent="0.45">
      <c r="B528" s="413"/>
      <c r="C528" s="414"/>
      <c r="D528" s="415"/>
      <c r="E528" s="416"/>
      <c r="F528" s="417"/>
      <c r="G528" s="417"/>
      <c r="H528" s="417"/>
      <c r="I528" s="415"/>
      <c r="J528" s="415"/>
      <c r="K528" s="415"/>
      <c r="L528" s="415"/>
      <c r="M528" s="415"/>
      <c r="N528" s="420"/>
    </row>
    <row r="529" spans="2:14" ht="16.5" customHeight="1" x14ac:dyDescent="0.45">
      <c r="B529" s="413"/>
      <c r="C529" s="414"/>
      <c r="D529" s="415"/>
      <c r="E529" s="416"/>
      <c r="F529" s="417"/>
      <c r="G529" s="417"/>
      <c r="H529" s="417"/>
      <c r="I529" s="415"/>
      <c r="J529" s="415"/>
      <c r="K529" s="415"/>
      <c r="L529" s="415"/>
      <c r="M529" s="415"/>
      <c r="N529" s="420"/>
    </row>
    <row r="530" spans="2:14" ht="16.5" customHeight="1" x14ac:dyDescent="0.45">
      <c r="B530" s="413"/>
      <c r="C530" s="414"/>
      <c r="D530" s="415"/>
      <c r="E530" s="416"/>
      <c r="F530" s="417"/>
      <c r="G530" s="417"/>
      <c r="H530" s="417"/>
      <c r="I530" s="415"/>
      <c r="J530" s="415"/>
      <c r="K530" s="415"/>
      <c r="L530" s="415"/>
      <c r="M530" s="415"/>
      <c r="N530" s="420"/>
    </row>
    <row r="531" spans="2:14" ht="16.5" customHeight="1" x14ac:dyDescent="0.45">
      <c r="B531" s="413"/>
      <c r="C531" s="414"/>
      <c r="D531" s="415"/>
      <c r="E531" s="416"/>
      <c r="F531" s="417"/>
      <c r="G531" s="417"/>
      <c r="H531" s="417"/>
      <c r="I531" s="415"/>
      <c r="J531" s="415"/>
      <c r="K531" s="415"/>
      <c r="L531" s="415"/>
      <c r="M531" s="415"/>
      <c r="N531" s="420"/>
    </row>
    <row r="532" spans="2:14" ht="16.5" customHeight="1" x14ac:dyDescent="0.45">
      <c r="B532" s="413"/>
      <c r="C532" s="414"/>
      <c r="D532" s="415"/>
      <c r="E532" s="416"/>
      <c r="F532" s="417"/>
      <c r="G532" s="417"/>
      <c r="H532" s="417"/>
      <c r="I532" s="415"/>
      <c r="J532" s="415"/>
      <c r="K532" s="415"/>
      <c r="L532" s="415"/>
      <c r="M532" s="415"/>
      <c r="N532" s="420"/>
    </row>
    <row r="533" spans="2:14" ht="16.5" customHeight="1" x14ac:dyDescent="0.45">
      <c r="B533" s="413"/>
      <c r="C533" s="414"/>
      <c r="D533" s="415"/>
      <c r="E533" s="416"/>
      <c r="F533" s="417"/>
      <c r="G533" s="417"/>
      <c r="H533" s="417"/>
      <c r="I533" s="415"/>
      <c r="J533" s="415"/>
      <c r="K533" s="415"/>
      <c r="L533" s="415"/>
      <c r="M533" s="415"/>
      <c r="N533" s="420"/>
    </row>
    <row r="534" spans="2:14" ht="16.5" customHeight="1" x14ac:dyDescent="0.45">
      <c r="B534" s="413"/>
      <c r="C534" s="414"/>
      <c r="D534" s="415"/>
      <c r="E534" s="416"/>
      <c r="F534" s="417"/>
      <c r="G534" s="417"/>
      <c r="H534" s="417"/>
      <c r="I534" s="415"/>
      <c r="J534" s="415"/>
      <c r="K534" s="415"/>
      <c r="L534" s="415"/>
      <c r="M534" s="415"/>
      <c r="N534" s="420"/>
    </row>
    <row r="535" spans="2:14" ht="16.5" customHeight="1" x14ac:dyDescent="0.45">
      <c r="B535" s="413"/>
      <c r="C535" s="414"/>
      <c r="D535" s="415"/>
      <c r="E535" s="416"/>
      <c r="F535" s="417"/>
      <c r="G535" s="417"/>
      <c r="H535" s="417"/>
      <c r="I535" s="415"/>
      <c r="J535" s="415"/>
      <c r="K535" s="415"/>
      <c r="L535" s="415"/>
      <c r="M535" s="415"/>
      <c r="N535" s="420"/>
    </row>
    <row r="536" spans="2:14" ht="16.5" customHeight="1" x14ac:dyDescent="0.45">
      <c r="B536" s="413"/>
      <c r="C536" s="414"/>
      <c r="D536" s="415"/>
      <c r="E536" s="416"/>
      <c r="F536" s="417"/>
      <c r="G536" s="417"/>
      <c r="H536" s="417"/>
      <c r="I536" s="415"/>
      <c r="J536" s="415"/>
      <c r="K536" s="415"/>
      <c r="L536" s="415"/>
      <c r="M536" s="415"/>
      <c r="N536" s="420"/>
    </row>
    <row r="537" spans="2:14" ht="16.5" customHeight="1" x14ac:dyDescent="0.45">
      <c r="B537" s="413"/>
      <c r="C537" s="414"/>
      <c r="D537" s="415"/>
      <c r="E537" s="416"/>
      <c r="F537" s="417"/>
      <c r="G537" s="417"/>
      <c r="H537" s="417"/>
      <c r="I537" s="415"/>
      <c r="J537" s="415"/>
      <c r="K537" s="415"/>
      <c r="L537" s="415"/>
      <c r="M537" s="415"/>
      <c r="N537" s="420"/>
    </row>
    <row r="538" spans="2:14" ht="16.5" customHeight="1" x14ac:dyDescent="0.45">
      <c r="B538" s="413"/>
      <c r="C538" s="414"/>
      <c r="D538" s="415"/>
      <c r="E538" s="416"/>
      <c r="F538" s="417"/>
      <c r="G538" s="417"/>
      <c r="H538" s="417"/>
      <c r="I538" s="415"/>
      <c r="J538" s="415"/>
      <c r="K538" s="415"/>
      <c r="L538" s="415"/>
      <c r="M538" s="415"/>
      <c r="N538" s="420"/>
    </row>
    <row r="539" spans="2:14" ht="16.5" customHeight="1" x14ac:dyDescent="0.45">
      <c r="B539" s="413"/>
      <c r="C539" s="414"/>
      <c r="D539" s="415"/>
      <c r="E539" s="416"/>
      <c r="F539" s="417"/>
      <c r="G539" s="417"/>
      <c r="H539" s="417"/>
      <c r="I539" s="415"/>
      <c r="J539" s="415"/>
      <c r="K539" s="415"/>
      <c r="L539" s="415"/>
      <c r="M539" s="415"/>
      <c r="N539" s="420"/>
    </row>
    <row r="540" spans="2:14" ht="16.5" customHeight="1" x14ac:dyDescent="0.45">
      <c r="B540" s="413"/>
      <c r="C540" s="414"/>
      <c r="D540" s="415"/>
      <c r="E540" s="416"/>
      <c r="F540" s="417"/>
      <c r="G540" s="417"/>
      <c r="H540" s="417"/>
      <c r="I540" s="415"/>
      <c r="J540" s="415"/>
      <c r="K540" s="415"/>
      <c r="L540" s="415"/>
      <c r="M540" s="415"/>
      <c r="N540" s="420"/>
    </row>
    <row r="541" spans="2:14" ht="16.5" customHeight="1" x14ac:dyDescent="0.45">
      <c r="B541" s="413"/>
      <c r="C541" s="414"/>
      <c r="D541" s="415"/>
      <c r="E541" s="416"/>
      <c r="F541" s="417"/>
      <c r="G541" s="417"/>
      <c r="H541" s="417"/>
      <c r="I541" s="415"/>
      <c r="J541" s="415"/>
      <c r="K541" s="415"/>
      <c r="L541" s="415"/>
      <c r="M541" s="415"/>
      <c r="N541" s="420"/>
    </row>
    <row r="542" spans="2:14" ht="16.5" customHeight="1" x14ac:dyDescent="0.45">
      <c r="B542" s="413"/>
      <c r="C542" s="414"/>
      <c r="D542" s="415"/>
      <c r="E542" s="416"/>
      <c r="F542" s="417"/>
      <c r="G542" s="417"/>
      <c r="H542" s="417"/>
      <c r="I542" s="415"/>
      <c r="J542" s="415"/>
      <c r="K542" s="415"/>
      <c r="L542" s="415"/>
      <c r="M542" s="415"/>
      <c r="N542" s="420"/>
    </row>
    <row r="543" spans="2:14" ht="16.5" customHeight="1" x14ac:dyDescent="0.45">
      <c r="B543" s="413"/>
      <c r="C543" s="414"/>
      <c r="D543" s="415"/>
      <c r="E543" s="416"/>
      <c r="F543" s="417"/>
      <c r="G543" s="417"/>
      <c r="H543" s="417"/>
      <c r="I543" s="415"/>
      <c r="J543" s="415"/>
      <c r="K543" s="415"/>
      <c r="L543" s="415"/>
      <c r="M543" s="415"/>
      <c r="N543" s="420"/>
    </row>
    <row r="544" spans="2:14" ht="16.5" customHeight="1" x14ac:dyDescent="0.45">
      <c r="B544" s="413"/>
      <c r="C544" s="414"/>
      <c r="D544" s="415"/>
      <c r="E544" s="416"/>
      <c r="F544" s="417"/>
      <c r="G544" s="417"/>
      <c r="H544" s="417"/>
      <c r="I544" s="415"/>
      <c r="J544" s="415"/>
      <c r="K544" s="415"/>
      <c r="L544" s="415"/>
      <c r="M544" s="415"/>
      <c r="N544" s="420"/>
    </row>
    <row r="545" spans="2:14" ht="16.5" customHeight="1" x14ac:dyDescent="0.45">
      <c r="B545" s="413"/>
      <c r="C545" s="414"/>
      <c r="D545" s="415"/>
      <c r="E545" s="416"/>
      <c r="F545" s="417"/>
      <c r="G545" s="417"/>
      <c r="H545" s="417"/>
      <c r="I545" s="415"/>
      <c r="J545" s="415"/>
      <c r="K545" s="415"/>
      <c r="L545" s="415"/>
      <c r="M545" s="415"/>
      <c r="N545" s="420"/>
    </row>
    <row r="546" spans="2:14" ht="16.5" customHeight="1" x14ac:dyDescent="0.45">
      <c r="B546" s="413"/>
      <c r="C546" s="414"/>
      <c r="D546" s="415"/>
      <c r="E546" s="416"/>
      <c r="F546" s="417"/>
      <c r="G546" s="417"/>
      <c r="H546" s="417"/>
      <c r="I546" s="415"/>
      <c r="J546" s="415"/>
      <c r="K546" s="415"/>
      <c r="L546" s="415"/>
      <c r="M546" s="415"/>
      <c r="N546" s="420"/>
    </row>
    <row r="547" spans="2:14" ht="16.5" customHeight="1" x14ac:dyDescent="0.45">
      <c r="B547" s="413"/>
      <c r="C547" s="414"/>
      <c r="D547" s="415"/>
      <c r="E547" s="416"/>
      <c r="F547" s="417"/>
      <c r="G547" s="417"/>
      <c r="H547" s="417"/>
      <c r="I547" s="415"/>
      <c r="J547" s="415"/>
      <c r="K547" s="415"/>
      <c r="L547" s="415"/>
      <c r="M547" s="415"/>
      <c r="N547" s="420"/>
    </row>
    <row r="548" spans="2:14" ht="16.5" customHeight="1" x14ac:dyDescent="0.45">
      <c r="B548" s="413"/>
      <c r="C548" s="414"/>
      <c r="D548" s="415"/>
      <c r="E548" s="416"/>
      <c r="F548" s="417"/>
      <c r="G548" s="417"/>
      <c r="H548" s="417"/>
      <c r="I548" s="415"/>
      <c r="J548" s="415"/>
      <c r="K548" s="415"/>
      <c r="L548" s="415"/>
      <c r="M548" s="415"/>
      <c r="N548" s="420"/>
    </row>
    <row r="549" spans="2:14" ht="16.5" customHeight="1" x14ac:dyDescent="0.45">
      <c r="B549" s="413"/>
      <c r="C549" s="414"/>
      <c r="D549" s="415"/>
      <c r="E549" s="416"/>
      <c r="F549" s="417"/>
      <c r="G549" s="417"/>
      <c r="H549" s="417"/>
      <c r="I549" s="415"/>
      <c r="J549" s="415"/>
      <c r="K549" s="415"/>
      <c r="L549" s="415"/>
      <c r="M549" s="415"/>
      <c r="N549" s="420"/>
    </row>
    <row r="550" spans="2:14" ht="16.5" customHeight="1" x14ac:dyDescent="0.45">
      <c r="B550" s="413"/>
      <c r="C550" s="414"/>
      <c r="D550" s="415"/>
      <c r="E550" s="416"/>
      <c r="F550" s="417"/>
      <c r="G550" s="417"/>
      <c r="H550" s="417"/>
      <c r="I550" s="415"/>
      <c r="J550" s="415"/>
      <c r="K550" s="415"/>
      <c r="L550" s="415"/>
      <c r="M550" s="415"/>
      <c r="N550" s="420"/>
    </row>
    <row r="551" spans="2:14" ht="16.5" customHeight="1" x14ac:dyDescent="0.45">
      <c r="B551" s="413"/>
      <c r="C551" s="414"/>
      <c r="D551" s="415"/>
      <c r="E551" s="416"/>
      <c r="F551" s="417"/>
      <c r="G551" s="417"/>
      <c r="H551" s="417"/>
      <c r="I551" s="415"/>
      <c r="J551" s="415"/>
      <c r="K551" s="415"/>
      <c r="L551" s="415"/>
      <c r="M551" s="415"/>
      <c r="N551" s="420"/>
    </row>
    <row r="552" spans="2:14" ht="16.5" customHeight="1" x14ac:dyDescent="0.45">
      <c r="B552" s="413"/>
      <c r="C552" s="414"/>
      <c r="D552" s="415"/>
      <c r="E552" s="416"/>
      <c r="F552" s="417"/>
      <c r="G552" s="417"/>
      <c r="H552" s="417"/>
      <c r="I552" s="415"/>
      <c r="J552" s="415"/>
      <c r="K552" s="415"/>
      <c r="L552" s="415"/>
      <c r="M552" s="415"/>
      <c r="N552" s="420"/>
    </row>
    <row r="553" spans="2:14" ht="16.5" customHeight="1" x14ac:dyDescent="0.45">
      <c r="B553" s="413"/>
      <c r="C553" s="414"/>
      <c r="D553" s="415"/>
      <c r="E553" s="416"/>
      <c r="F553" s="417"/>
      <c r="G553" s="417"/>
      <c r="H553" s="417"/>
      <c r="I553" s="415"/>
      <c r="J553" s="415"/>
      <c r="K553" s="415"/>
      <c r="L553" s="415"/>
      <c r="M553" s="415"/>
      <c r="N553" s="420"/>
    </row>
    <row r="554" spans="2:14" ht="16.5" customHeight="1" x14ac:dyDescent="0.45">
      <c r="B554" s="413"/>
      <c r="C554" s="414"/>
      <c r="D554" s="415"/>
      <c r="E554" s="416"/>
      <c r="F554" s="417"/>
      <c r="G554" s="417"/>
      <c r="H554" s="417"/>
      <c r="I554" s="415"/>
      <c r="J554" s="415"/>
      <c r="K554" s="415"/>
      <c r="L554" s="415"/>
      <c r="M554" s="415"/>
      <c r="N554" s="420"/>
    </row>
    <row r="555" spans="2:14" ht="16.5" customHeight="1" x14ac:dyDescent="0.45">
      <c r="B555" s="413"/>
      <c r="C555" s="414"/>
      <c r="D555" s="415"/>
      <c r="E555" s="416"/>
      <c r="F555" s="417"/>
      <c r="G555" s="417"/>
      <c r="H555" s="417"/>
      <c r="I555" s="415"/>
      <c r="J555" s="415"/>
      <c r="K555" s="415"/>
      <c r="L555" s="415"/>
      <c r="M555" s="415"/>
      <c r="N555" s="420"/>
    </row>
    <row r="556" spans="2:14" ht="16.5" customHeight="1" x14ac:dyDescent="0.45">
      <c r="B556" s="413"/>
      <c r="C556" s="414"/>
      <c r="D556" s="415"/>
      <c r="E556" s="416"/>
      <c r="F556" s="417"/>
      <c r="G556" s="417"/>
      <c r="H556" s="417"/>
      <c r="I556" s="415"/>
      <c r="J556" s="415"/>
      <c r="K556" s="415"/>
      <c r="L556" s="415"/>
      <c r="M556" s="415"/>
      <c r="N556" s="420"/>
    </row>
    <row r="557" spans="2:14" ht="16.5" customHeight="1" x14ac:dyDescent="0.45">
      <c r="B557" s="413"/>
      <c r="C557" s="414"/>
      <c r="D557" s="415"/>
      <c r="E557" s="416"/>
      <c r="F557" s="417"/>
      <c r="G557" s="417"/>
      <c r="H557" s="417"/>
      <c r="I557" s="415"/>
      <c r="J557" s="415"/>
      <c r="K557" s="415"/>
      <c r="L557" s="415"/>
      <c r="M557" s="415"/>
      <c r="N557" s="420"/>
    </row>
    <row r="558" spans="2:14" ht="16.5" customHeight="1" x14ac:dyDescent="0.45">
      <c r="B558" s="413"/>
      <c r="C558" s="414"/>
      <c r="D558" s="415"/>
      <c r="E558" s="416"/>
      <c r="F558" s="417"/>
      <c r="G558" s="417"/>
      <c r="H558" s="417"/>
      <c r="I558" s="415"/>
      <c r="J558" s="415"/>
      <c r="K558" s="415"/>
      <c r="L558" s="415"/>
      <c r="M558" s="415"/>
      <c r="N558" s="420"/>
    </row>
    <row r="559" spans="2:14" ht="16.5" customHeight="1" x14ac:dyDescent="0.45">
      <c r="B559" s="413"/>
      <c r="C559" s="414"/>
      <c r="D559" s="415"/>
      <c r="E559" s="416"/>
      <c r="F559" s="417"/>
      <c r="G559" s="417"/>
      <c r="H559" s="417"/>
      <c r="I559" s="415"/>
      <c r="J559" s="415"/>
      <c r="K559" s="415"/>
      <c r="L559" s="415"/>
      <c r="M559" s="415"/>
      <c r="N559" s="420"/>
    </row>
    <row r="560" spans="2:14" ht="16.5" customHeight="1" x14ac:dyDescent="0.45">
      <c r="B560" s="413"/>
      <c r="C560" s="414"/>
      <c r="D560" s="415"/>
      <c r="E560" s="416"/>
      <c r="F560" s="417"/>
      <c r="G560" s="417"/>
      <c r="H560" s="417"/>
      <c r="I560" s="415"/>
      <c r="J560" s="415"/>
      <c r="K560" s="415"/>
      <c r="L560" s="415"/>
      <c r="M560" s="415"/>
      <c r="N560" s="420"/>
    </row>
    <row r="561" spans="2:14" ht="16.5" customHeight="1" x14ac:dyDescent="0.45">
      <c r="B561" s="413"/>
      <c r="C561" s="414"/>
      <c r="D561" s="415"/>
      <c r="E561" s="416"/>
      <c r="F561" s="417"/>
      <c r="G561" s="417"/>
      <c r="H561" s="417"/>
      <c r="I561" s="415"/>
      <c r="J561" s="415"/>
      <c r="K561" s="415"/>
      <c r="L561" s="415"/>
      <c r="M561" s="415"/>
      <c r="N561" s="420"/>
    </row>
    <row r="562" spans="2:14" ht="16.5" customHeight="1" x14ac:dyDescent="0.45">
      <c r="B562" s="413"/>
      <c r="C562" s="414"/>
      <c r="D562" s="415"/>
      <c r="E562" s="416"/>
      <c r="F562" s="417"/>
      <c r="G562" s="417"/>
      <c r="H562" s="417"/>
      <c r="I562" s="415"/>
      <c r="J562" s="415"/>
      <c r="K562" s="415"/>
      <c r="L562" s="415"/>
      <c r="M562" s="415"/>
      <c r="N562" s="420"/>
    </row>
    <row r="563" spans="2:14" ht="16.5" customHeight="1" x14ac:dyDescent="0.45">
      <c r="B563" s="413"/>
      <c r="C563" s="414"/>
      <c r="D563" s="415"/>
      <c r="E563" s="416"/>
      <c r="F563" s="417"/>
      <c r="G563" s="417"/>
      <c r="H563" s="417"/>
      <c r="I563" s="415"/>
      <c r="J563" s="415"/>
      <c r="K563" s="415"/>
      <c r="L563" s="415"/>
      <c r="M563" s="415"/>
      <c r="N563" s="420"/>
    </row>
    <row r="564" spans="2:14" ht="16.5" customHeight="1" x14ac:dyDescent="0.45">
      <c r="B564" s="413"/>
      <c r="C564" s="414"/>
      <c r="D564" s="415"/>
      <c r="E564" s="416"/>
      <c r="F564" s="417"/>
      <c r="G564" s="417"/>
      <c r="H564" s="417"/>
      <c r="I564" s="415"/>
      <c r="J564" s="415"/>
      <c r="K564" s="415"/>
      <c r="L564" s="415"/>
      <c r="M564" s="415"/>
      <c r="N564" s="420"/>
    </row>
    <row r="565" spans="2:14" ht="16.5" customHeight="1" x14ac:dyDescent="0.45">
      <c r="B565" s="413"/>
      <c r="C565" s="414"/>
      <c r="D565" s="415"/>
      <c r="E565" s="416"/>
      <c r="F565" s="417"/>
      <c r="G565" s="417"/>
      <c r="H565" s="417"/>
      <c r="I565" s="415"/>
      <c r="J565" s="415"/>
      <c r="K565" s="415"/>
      <c r="L565" s="415"/>
      <c r="M565" s="415"/>
      <c r="N565" s="420"/>
    </row>
    <row r="566" spans="2:14" ht="16.5" customHeight="1" x14ac:dyDescent="0.45">
      <c r="B566" s="413"/>
      <c r="C566" s="414"/>
      <c r="D566" s="415"/>
      <c r="E566" s="416"/>
      <c r="F566" s="417"/>
      <c r="G566" s="417"/>
      <c r="H566" s="417"/>
      <c r="I566" s="415"/>
      <c r="J566" s="415"/>
      <c r="K566" s="415"/>
      <c r="L566" s="415"/>
      <c r="M566" s="415"/>
      <c r="N566" s="420"/>
    </row>
    <row r="567" spans="2:14" ht="16.5" customHeight="1" x14ac:dyDescent="0.45">
      <c r="B567" s="413"/>
      <c r="C567" s="414"/>
      <c r="D567" s="415"/>
      <c r="E567" s="416"/>
      <c r="F567" s="417"/>
      <c r="G567" s="417"/>
      <c r="H567" s="417"/>
      <c r="I567" s="415"/>
      <c r="J567" s="415"/>
      <c r="K567" s="415"/>
      <c r="L567" s="415"/>
      <c r="M567" s="415"/>
      <c r="N567" s="420"/>
    </row>
    <row r="568" spans="2:14" ht="16.5" customHeight="1" x14ac:dyDescent="0.45">
      <c r="B568" s="413"/>
      <c r="C568" s="414"/>
      <c r="D568" s="415"/>
      <c r="E568" s="416"/>
      <c r="F568" s="417"/>
      <c r="G568" s="417"/>
      <c r="H568" s="417"/>
      <c r="I568" s="415"/>
      <c r="J568" s="415"/>
      <c r="K568" s="415"/>
      <c r="L568" s="415"/>
      <c r="M568" s="415"/>
      <c r="N568" s="420"/>
    </row>
    <row r="569" spans="2:14" ht="16.5" customHeight="1" x14ac:dyDescent="0.45">
      <c r="B569" s="413"/>
      <c r="C569" s="414"/>
      <c r="D569" s="415"/>
      <c r="E569" s="416"/>
      <c r="F569" s="417"/>
      <c r="G569" s="417"/>
      <c r="H569" s="417"/>
      <c r="I569" s="415"/>
      <c r="J569" s="415"/>
      <c r="K569" s="415"/>
      <c r="L569" s="415"/>
      <c r="M569" s="415"/>
      <c r="N569" s="420"/>
    </row>
    <row r="570" spans="2:14" ht="16.5" customHeight="1" x14ac:dyDescent="0.45">
      <c r="B570" s="413"/>
      <c r="C570" s="414"/>
      <c r="D570" s="415"/>
      <c r="E570" s="416"/>
      <c r="F570" s="417"/>
      <c r="G570" s="417"/>
      <c r="H570" s="417"/>
      <c r="I570" s="415"/>
      <c r="J570" s="415"/>
      <c r="K570" s="415"/>
      <c r="L570" s="415"/>
      <c r="M570" s="415"/>
      <c r="N570" s="420"/>
    </row>
    <row r="571" spans="2:14" ht="16.5" customHeight="1" x14ac:dyDescent="0.45">
      <c r="B571" s="413"/>
      <c r="C571" s="414"/>
      <c r="D571" s="415"/>
      <c r="E571" s="416"/>
      <c r="F571" s="417"/>
      <c r="G571" s="417"/>
      <c r="H571" s="417"/>
      <c r="I571" s="415"/>
      <c r="J571" s="415"/>
      <c r="K571" s="415"/>
      <c r="L571" s="415"/>
      <c r="M571" s="415"/>
      <c r="N571" s="420"/>
    </row>
    <row r="572" spans="2:14" ht="16.5" customHeight="1" x14ac:dyDescent="0.45">
      <c r="B572" s="413"/>
      <c r="C572" s="414"/>
      <c r="D572" s="415"/>
      <c r="E572" s="416"/>
      <c r="F572" s="417"/>
      <c r="G572" s="417"/>
      <c r="H572" s="417"/>
      <c r="I572" s="415"/>
      <c r="J572" s="415"/>
      <c r="K572" s="415"/>
      <c r="L572" s="415"/>
      <c r="M572" s="415"/>
      <c r="N572" s="420"/>
    </row>
    <row r="573" spans="2:14" ht="16.5" customHeight="1" x14ac:dyDescent="0.45">
      <c r="B573" s="413"/>
      <c r="C573" s="414"/>
      <c r="D573" s="415"/>
      <c r="E573" s="416"/>
      <c r="F573" s="417"/>
      <c r="G573" s="417"/>
      <c r="H573" s="417"/>
      <c r="I573" s="415"/>
      <c r="J573" s="415"/>
      <c r="K573" s="415"/>
      <c r="L573" s="415"/>
      <c r="M573" s="415"/>
      <c r="N573" s="420"/>
    </row>
    <row r="574" spans="2:14" ht="16.5" customHeight="1" x14ac:dyDescent="0.45">
      <c r="B574" s="413"/>
      <c r="C574" s="414"/>
      <c r="D574" s="415"/>
      <c r="E574" s="416"/>
      <c r="F574" s="417"/>
      <c r="G574" s="417"/>
      <c r="H574" s="417"/>
      <c r="I574" s="415"/>
      <c r="J574" s="415"/>
      <c r="K574" s="415"/>
      <c r="L574" s="415"/>
      <c r="M574" s="415"/>
      <c r="N574" s="420"/>
    </row>
    <row r="575" spans="2:14" ht="16.5" customHeight="1" x14ac:dyDescent="0.45">
      <c r="B575" s="413"/>
      <c r="C575" s="414"/>
      <c r="D575" s="415"/>
      <c r="E575" s="416"/>
      <c r="F575" s="417"/>
      <c r="G575" s="417"/>
      <c r="H575" s="417"/>
      <c r="I575" s="415"/>
      <c r="J575" s="415"/>
      <c r="K575" s="415"/>
      <c r="L575" s="415"/>
      <c r="M575" s="415"/>
      <c r="N575" s="420"/>
    </row>
    <row r="576" spans="2:14" ht="16.5" customHeight="1" x14ac:dyDescent="0.45">
      <c r="B576" s="413"/>
      <c r="C576" s="414"/>
      <c r="D576" s="415"/>
      <c r="E576" s="416"/>
      <c r="F576" s="417"/>
      <c r="G576" s="417"/>
      <c r="H576" s="417"/>
      <c r="I576" s="415"/>
      <c r="J576" s="415"/>
      <c r="K576" s="415"/>
      <c r="L576" s="415"/>
      <c r="M576" s="415"/>
      <c r="N576" s="420"/>
    </row>
    <row r="577" spans="2:14" ht="16.5" customHeight="1" x14ac:dyDescent="0.45">
      <c r="B577" s="413"/>
      <c r="C577" s="414"/>
      <c r="D577" s="415"/>
      <c r="E577" s="416"/>
      <c r="F577" s="417"/>
      <c r="G577" s="417"/>
      <c r="H577" s="417"/>
      <c r="I577" s="415"/>
      <c r="J577" s="415"/>
      <c r="K577" s="415"/>
      <c r="L577" s="415"/>
      <c r="M577" s="415"/>
      <c r="N577" s="420"/>
    </row>
    <row r="578" spans="2:14" ht="16.5" customHeight="1" x14ac:dyDescent="0.45">
      <c r="B578" s="413"/>
      <c r="C578" s="414"/>
      <c r="D578" s="415"/>
      <c r="E578" s="416"/>
      <c r="F578" s="417"/>
      <c r="G578" s="417"/>
      <c r="H578" s="417"/>
      <c r="I578" s="415"/>
      <c r="J578" s="415"/>
      <c r="K578" s="415"/>
      <c r="L578" s="415"/>
      <c r="M578" s="415"/>
      <c r="N578" s="420"/>
    </row>
    <row r="579" spans="2:14" ht="16.5" customHeight="1" x14ac:dyDescent="0.45">
      <c r="B579" s="413"/>
      <c r="C579" s="414"/>
      <c r="D579" s="415"/>
      <c r="E579" s="416"/>
      <c r="F579" s="417"/>
      <c r="G579" s="417"/>
      <c r="H579" s="417"/>
      <c r="I579" s="415"/>
      <c r="J579" s="415"/>
      <c r="K579" s="415"/>
      <c r="L579" s="415"/>
      <c r="M579" s="415"/>
      <c r="N579" s="420"/>
    </row>
    <row r="580" spans="2:14" ht="16.5" customHeight="1" x14ac:dyDescent="0.45">
      <c r="B580" s="413"/>
      <c r="C580" s="414"/>
      <c r="D580" s="415"/>
      <c r="E580" s="416"/>
      <c r="F580" s="417"/>
      <c r="G580" s="417"/>
      <c r="H580" s="417"/>
      <c r="I580" s="415"/>
      <c r="J580" s="415"/>
      <c r="K580" s="415"/>
      <c r="L580" s="415"/>
      <c r="M580" s="415"/>
      <c r="N580" s="420"/>
    </row>
    <row r="581" spans="2:14" ht="16.5" customHeight="1" x14ac:dyDescent="0.45">
      <c r="B581" s="413"/>
      <c r="C581" s="414"/>
      <c r="D581" s="415"/>
      <c r="E581" s="416"/>
      <c r="F581" s="417"/>
      <c r="G581" s="417"/>
      <c r="H581" s="417"/>
      <c r="I581" s="415"/>
      <c r="J581" s="415"/>
      <c r="K581" s="415"/>
      <c r="L581" s="415"/>
      <c r="M581" s="415"/>
      <c r="N581" s="420"/>
    </row>
    <row r="582" spans="2:14" ht="16.5" customHeight="1" x14ac:dyDescent="0.45">
      <c r="B582" s="413"/>
      <c r="C582" s="414"/>
      <c r="D582" s="415"/>
      <c r="E582" s="416"/>
      <c r="F582" s="417"/>
      <c r="G582" s="417"/>
      <c r="H582" s="417"/>
      <c r="I582" s="415"/>
      <c r="J582" s="415"/>
      <c r="K582" s="415"/>
      <c r="L582" s="415"/>
      <c r="M582" s="415"/>
      <c r="N582" s="420"/>
    </row>
    <row r="583" spans="2:14" ht="16.5" customHeight="1" x14ac:dyDescent="0.45">
      <c r="B583" s="413"/>
      <c r="C583" s="414"/>
      <c r="D583" s="415"/>
      <c r="E583" s="416"/>
      <c r="F583" s="417"/>
      <c r="G583" s="417"/>
      <c r="H583" s="417"/>
      <c r="I583" s="415"/>
      <c r="J583" s="415"/>
      <c r="K583" s="415"/>
      <c r="L583" s="415"/>
      <c r="M583" s="415"/>
      <c r="N583" s="420"/>
    </row>
    <row r="584" spans="2:14" ht="16.5" customHeight="1" x14ac:dyDescent="0.45">
      <c r="B584" s="413"/>
      <c r="C584" s="414"/>
      <c r="D584" s="415"/>
      <c r="E584" s="416"/>
      <c r="F584" s="417"/>
      <c r="G584" s="417"/>
      <c r="H584" s="417"/>
      <c r="I584" s="415"/>
      <c r="J584" s="415"/>
      <c r="K584" s="415"/>
      <c r="L584" s="415"/>
      <c r="M584" s="415"/>
      <c r="N584" s="420"/>
    </row>
    <row r="585" spans="2:14" ht="16.5" customHeight="1" x14ac:dyDescent="0.45">
      <c r="B585" s="413"/>
      <c r="C585" s="414"/>
      <c r="D585" s="415"/>
      <c r="E585" s="416"/>
      <c r="F585" s="417"/>
      <c r="G585" s="417"/>
      <c r="H585" s="417"/>
      <c r="I585" s="415"/>
      <c r="J585" s="415"/>
      <c r="K585" s="415"/>
      <c r="L585" s="415"/>
      <c r="M585" s="415"/>
      <c r="N585" s="420"/>
    </row>
    <row r="586" spans="2:14" ht="16.5" customHeight="1" x14ac:dyDescent="0.45">
      <c r="B586" s="413"/>
      <c r="C586" s="414"/>
      <c r="D586" s="415"/>
      <c r="E586" s="416"/>
      <c r="F586" s="417"/>
      <c r="G586" s="417"/>
      <c r="H586" s="417"/>
      <c r="I586" s="415"/>
      <c r="J586" s="415"/>
      <c r="K586" s="415"/>
      <c r="L586" s="415"/>
      <c r="M586" s="415"/>
      <c r="N586" s="420"/>
    </row>
    <row r="587" spans="2:14" ht="16.5" customHeight="1" x14ac:dyDescent="0.45">
      <c r="B587" s="413"/>
      <c r="C587" s="414"/>
      <c r="D587" s="415"/>
      <c r="E587" s="416"/>
      <c r="F587" s="417"/>
      <c r="G587" s="417"/>
      <c r="H587" s="417"/>
      <c r="I587" s="415"/>
      <c r="J587" s="415"/>
      <c r="K587" s="415"/>
      <c r="L587" s="415"/>
      <c r="M587" s="415"/>
      <c r="N587" s="420"/>
    </row>
    <row r="588" spans="2:14" ht="16.5" customHeight="1" x14ac:dyDescent="0.45">
      <c r="B588" s="413"/>
      <c r="C588" s="414"/>
      <c r="D588" s="415"/>
      <c r="E588" s="416"/>
      <c r="F588" s="417"/>
      <c r="G588" s="417"/>
      <c r="H588" s="417"/>
      <c r="I588" s="415"/>
      <c r="J588" s="415"/>
      <c r="K588" s="415"/>
      <c r="L588" s="415"/>
      <c r="M588" s="415"/>
      <c r="N588" s="420"/>
    </row>
    <row r="589" spans="2:14" ht="16.5" customHeight="1" x14ac:dyDescent="0.45">
      <c r="B589" s="413"/>
      <c r="C589" s="414"/>
      <c r="D589" s="415"/>
      <c r="E589" s="416"/>
      <c r="F589" s="417"/>
      <c r="G589" s="417"/>
      <c r="H589" s="417"/>
      <c r="I589" s="415"/>
      <c r="J589" s="415"/>
      <c r="K589" s="415"/>
      <c r="L589" s="415"/>
      <c r="M589" s="415"/>
      <c r="N589" s="420"/>
    </row>
    <row r="590" spans="2:14" ht="16.5" customHeight="1" x14ac:dyDescent="0.45">
      <c r="B590" s="413"/>
      <c r="C590" s="414"/>
      <c r="D590" s="415"/>
      <c r="E590" s="416"/>
      <c r="F590" s="417"/>
      <c r="G590" s="417"/>
      <c r="H590" s="417"/>
      <c r="I590" s="415"/>
      <c r="J590" s="415"/>
      <c r="K590" s="415"/>
      <c r="L590" s="415"/>
      <c r="M590" s="415"/>
      <c r="N590" s="420"/>
    </row>
    <row r="591" spans="2:14" ht="16.5" customHeight="1" x14ac:dyDescent="0.45">
      <c r="B591" s="413"/>
      <c r="C591" s="414"/>
      <c r="D591" s="415"/>
      <c r="E591" s="416"/>
      <c r="F591" s="417"/>
      <c r="G591" s="417"/>
      <c r="H591" s="417"/>
      <c r="I591" s="415"/>
      <c r="J591" s="415"/>
      <c r="K591" s="415"/>
      <c r="L591" s="415"/>
      <c r="M591" s="415"/>
      <c r="N591" s="420"/>
    </row>
    <row r="592" spans="2:14" ht="16.5" customHeight="1" x14ac:dyDescent="0.45">
      <c r="B592" s="413"/>
      <c r="C592" s="414"/>
      <c r="D592" s="415"/>
      <c r="E592" s="416"/>
      <c r="F592" s="417"/>
      <c r="G592" s="417"/>
      <c r="H592" s="417"/>
      <c r="I592" s="415"/>
      <c r="J592" s="415"/>
      <c r="K592" s="415"/>
      <c r="L592" s="415"/>
      <c r="M592" s="415"/>
      <c r="N592" s="420"/>
    </row>
    <row r="593" spans="2:14" ht="16.5" customHeight="1" x14ac:dyDescent="0.45">
      <c r="B593" s="413"/>
      <c r="C593" s="414"/>
      <c r="D593" s="415"/>
      <c r="E593" s="416"/>
      <c r="F593" s="417"/>
      <c r="G593" s="417"/>
      <c r="H593" s="417"/>
      <c r="I593" s="415"/>
      <c r="J593" s="415"/>
      <c r="K593" s="415"/>
      <c r="L593" s="415"/>
      <c r="M593" s="415"/>
      <c r="N593" s="420"/>
    </row>
    <row r="594" spans="2:14" ht="16.5" customHeight="1" x14ac:dyDescent="0.45">
      <c r="B594" s="413"/>
      <c r="C594" s="414"/>
      <c r="D594" s="415"/>
      <c r="E594" s="416"/>
      <c r="F594" s="417"/>
      <c r="G594" s="417"/>
      <c r="H594" s="417"/>
      <c r="I594" s="415"/>
      <c r="J594" s="415"/>
      <c r="K594" s="415"/>
      <c r="L594" s="415"/>
      <c r="M594" s="415"/>
      <c r="N594" s="420"/>
    </row>
    <row r="595" spans="2:14" ht="16.5" customHeight="1" x14ac:dyDescent="0.45">
      <c r="B595" s="413"/>
      <c r="C595" s="414"/>
      <c r="D595" s="415"/>
      <c r="E595" s="416"/>
      <c r="F595" s="417"/>
      <c r="G595" s="417"/>
      <c r="H595" s="417"/>
      <c r="I595" s="415"/>
      <c r="J595" s="415"/>
      <c r="K595" s="415"/>
      <c r="L595" s="415"/>
      <c r="M595" s="415"/>
      <c r="N595" s="420"/>
    </row>
    <row r="596" spans="2:14" ht="16.5" customHeight="1" x14ac:dyDescent="0.45">
      <c r="B596" s="413"/>
      <c r="C596" s="414"/>
      <c r="D596" s="415"/>
      <c r="E596" s="416"/>
      <c r="F596" s="417"/>
      <c r="G596" s="417"/>
      <c r="H596" s="417"/>
      <c r="I596" s="415"/>
      <c r="J596" s="415"/>
      <c r="K596" s="415"/>
      <c r="L596" s="415"/>
      <c r="M596" s="415"/>
      <c r="N596" s="420"/>
    </row>
    <row r="597" spans="2:14" ht="16.5" customHeight="1" x14ac:dyDescent="0.45">
      <c r="B597" s="413"/>
      <c r="C597" s="414"/>
      <c r="D597" s="415"/>
      <c r="E597" s="416"/>
      <c r="F597" s="417"/>
      <c r="G597" s="417"/>
      <c r="H597" s="417"/>
      <c r="I597" s="415"/>
      <c r="J597" s="415"/>
      <c r="K597" s="415"/>
      <c r="L597" s="415"/>
      <c r="M597" s="415"/>
      <c r="N597" s="420"/>
    </row>
    <row r="598" spans="2:14" ht="16.5" customHeight="1" x14ac:dyDescent="0.45">
      <c r="B598" s="413"/>
      <c r="C598" s="414"/>
      <c r="D598" s="415"/>
      <c r="E598" s="416"/>
      <c r="F598" s="417"/>
      <c r="G598" s="417"/>
      <c r="H598" s="417"/>
      <c r="I598" s="415"/>
      <c r="J598" s="415"/>
      <c r="K598" s="415"/>
      <c r="L598" s="415"/>
      <c r="M598" s="415"/>
      <c r="N598" s="420"/>
    </row>
    <row r="599" spans="2:14" ht="16.5" customHeight="1" x14ac:dyDescent="0.45">
      <c r="B599" s="413"/>
      <c r="C599" s="414"/>
      <c r="D599" s="415"/>
      <c r="E599" s="416"/>
      <c r="F599" s="417"/>
      <c r="G599" s="417"/>
      <c r="H599" s="417"/>
      <c r="I599" s="415"/>
      <c r="J599" s="415"/>
      <c r="K599" s="415"/>
      <c r="L599" s="415"/>
      <c r="M599" s="415"/>
      <c r="N599" s="420"/>
    </row>
    <row r="600" spans="2:14" ht="16.5" customHeight="1" x14ac:dyDescent="0.45">
      <c r="B600" s="413"/>
      <c r="C600" s="414"/>
      <c r="D600" s="415"/>
      <c r="E600" s="416"/>
      <c r="F600" s="417"/>
      <c r="G600" s="417"/>
      <c r="H600" s="417"/>
      <c r="I600" s="415"/>
      <c r="J600" s="415"/>
      <c r="K600" s="415"/>
      <c r="L600" s="415"/>
      <c r="M600" s="415"/>
      <c r="N600" s="420"/>
    </row>
    <row r="601" spans="2:14" ht="16.5" customHeight="1" x14ac:dyDescent="0.45">
      <c r="B601" s="413"/>
      <c r="C601" s="414"/>
      <c r="D601" s="415"/>
      <c r="E601" s="416"/>
      <c r="F601" s="417"/>
      <c r="G601" s="417"/>
      <c r="H601" s="417"/>
      <c r="I601" s="415"/>
      <c r="J601" s="415"/>
      <c r="K601" s="415"/>
      <c r="L601" s="415"/>
      <c r="M601" s="415"/>
      <c r="N601" s="420"/>
    </row>
    <row r="602" spans="2:14" ht="16.5" customHeight="1" x14ac:dyDescent="0.45">
      <c r="B602" s="413"/>
      <c r="C602" s="414"/>
      <c r="D602" s="415"/>
      <c r="E602" s="416"/>
      <c r="F602" s="417"/>
      <c r="G602" s="417"/>
      <c r="H602" s="417"/>
      <c r="I602" s="415"/>
      <c r="J602" s="415"/>
      <c r="K602" s="415"/>
      <c r="L602" s="415"/>
      <c r="M602" s="415"/>
      <c r="N602" s="420"/>
    </row>
    <row r="603" spans="2:14" ht="16.5" customHeight="1" x14ac:dyDescent="0.45">
      <c r="B603" s="413"/>
      <c r="C603" s="414"/>
      <c r="D603" s="415"/>
      <c r="E603" s="416"/>
      <c r="F603" s="417"/>
      <c r="G603" s="417"/>
      <c r="H603" s="417"/>
      <c r="I603" s="415"/>
      <c r="J603" s="415"/>
      <c r="K603" s="415"/>
      <c r="L603" s="415"/>
      <c r="M603" s="415"/>
      <c r="N603" s="420"/>
    </row>
    <row r="604" spans="2:14" ht="16.5" customHeight="1" x14ac:dyDescent="0.45">
      <c r="B604" s="413"/>
      <c r="C604" s="414"/>
      <c r="D604" s="415"/>
      <c r="E604" s="416"/>
      <c r="F604" s="417"/>
      <c r="G604" s="417"/>
      <c r="H604" s="417"/>
      <c r="I604" s="415"/>
      <c r="J604" s="415"/>
      <c r="K604" s="415"/>
      <c r="L604" s="415"/>
      <c r="M604" s="415"/>
      <c r="N604" s="420"/>
    </row>
    <row r="605" spans="2:14" ht="16.5" customHeight="1" x14ac:dyDescent="0.45">
      <c r="B605" s="413"/>
      <c r="C605" s="414"/>
      <c r="D605" s="415"/>
      <c r="E605" s="416"/>
      <c r="F605" s="417"/>
      <c r="G605" s="417"/>
      <c r="H605" s="417"/>
      <c r="I605" s="415"/>
      <c r="J605" s="415"/>
      <c r="K605" s="415"/>
      <c r="L605" s="415"/>
      <c r="M605" s="415"/>
      <c r="N605" s="420"/>
    </row>
    <row r="606" spans="2:14" ht="16.5" customHeight="1" x14ac:dyDescent="0.45">
      <c r="B606" s="413"/>
      <c r="C606" s="414"/>
      <c r="D606" s="415"/>
      <c r="E606" s="416"/>
      <c r="F606" s="417"/>
      <c r="G606" s="417"/>
      <c r="H606" s="417"/>
      <c r="I606" s="415"/>
      <c r="J606" s="415"/>
      <c r="K606" s="415"/>
      <c r="L606" s="415"/>
      <c r="M606" s="415"/>
      <c r="N606" s="420"/>
    </row>
    <row r="607" spans="2:14" ht="16.5" customHeight="1" x14ac:dyDescent="0.45">
      <c r="B607" s="413"/>
      <c r="C607" s="414"/>
      <c r="D607" s="415"/>
      <c r="E607" s="416"/>
      <c r="F607" s="417"/>
      <c r="G607" s="417"/>
      <c r="H607" s="417"/>
      <c r="I607" s="415"/>
      <c r="J607" s="415"/>
      <c r="K607" s="415"/>
      <c r="L607" s="415"/>
      <c r="M607" s="415"/>
      <c r="N607" s="420"/>
    </row>
    <row r="608" spans="2:14" ht="16.5" customHeight="1" x14ac:dyDescent="0.45">
      <c r="B608" s="413"/>
      <c r="C608" s="414"/>
      <c r="D608" s="415"/>
      <c r="E608" s="416"/>
      <c r="F608" s="417"/>
      <c r="G608" s="417"/>
      <c r="H608" s="417"/>
      <c r="I608" s="415"/>
      <c r="J608" s="415"/>
      <c r="K608" s="415"/>
      <c r="L608" s="415"/>
      <c r="M608" s="415"/>
      <c r="N608" s="420"/>
    </row>
    <row r="609" spans="2:14" ht="16.5" customHeight="1" x14ac:dyDescent="0.45">
      <c r="B609" s="413"/>
      <c r="C609" s="414"/>
      <c r="D609" s="415"/>
      <c r="E609" s="416"/>
      <c r="F609" s="417"/>
      <c r="G609" s="417"/>
      <c r="H609" s="417"/>
      <c r="I609" s="415"/>
      <c r="J609" s="415"/>
      <c r="K609" s="415"/>
      <c r="L609" s="415"/>
      <c r="M609" s="415"/>
      <c r="N609" s="420"/>
    </row>
    <row r="610" spans="2:14" ht="16.5" customHeight="1" x14ac:dyDescent="0.45">
      <c r="B610" s="413"/>
      <c r="C610" s="414"/>
      <c r="D610" s="415"/>
      <c r="E610" s="416"/>
      <c r="F610" s="417"/>
      <c r="G610" s="417"/>
      <c r="H610" s="417"/>
      <c r="I610" s="415"/>
      <c r="J610" s="415"/>
      <c r="K610" s="415"/>
      <c r="L610" s="415"/>
      <c r="M610" s="415"/>
      <c r="N610" s="420"/>
    </row>
    <row r="611" spans="2:14" ht="16.5" customHeight="1" x14ac:dyDescent="0.45">
      <c r="B611" s="413"/>
      <c r="C611" s="414"/>
      <c r="D611" s="415"/>
      <c r="E611" s="416"/>
      <c r="F611" s="417"/>
      <c r="G611" s="417"/>
      <c r="H611" s="417"/>
      <c r="I611" s="415"/>
      <c r="J611" s="415"/>
      <c r="K611" s="415"/>
      <c r="L611" s="415"/>
      <c r="M611" s="415"/>
      <c r="N611" s="420"/>
    </row>
    <row r="612" spans="2:14" ht="16.5" customHeight="1" x14ac:dyDescent="0.45">
      <c r="B612" s="413"/>
      <c r="C612" s="414"/>
      <c r="D612" s="415"/>
      <c r="E612" s="416"/>
      <c r="F612" s="417"/>
      <c r="G612" s="417"/>
      <c r="H612" s="417"/>
      <c r="I612" s="415"/>
      <c r="J612" s="415"/>
      <c r="K612" s="415"/>
      <c r="L612" s="415"/>
      <c r="M612" s="415"/>
      <c r="N612" s="420"/>
    </row>
    <row r="613" spans="2:14" ht="16.5" customHeight="1" x14ac:dyDescent="0.45">
      <c r="B613" s="413"/>
      <c r="C613" s="414"/>
      <c r="D613" s="415"/>
      <c r="E613" s="416"/>
      <c r="F613" s="417"/>
      <c r="G613" s="417"/>
      <c r="H613" s="417"/>
      <c r="I613" s="415"/>
      <c r="J613" s="415"/>
      <c r="K613" s="415"/>
      <c r="L613" s="415"/>
      <c r="M613" s="415"/>
      <c r="N613" s="420"/>
    </row>
    <row r="614" spans="2:14" ht="16.5" customHeight="1" x14ac:dyDescent="0.45">
      <c r="B614" s="413"/>
      <c r="C614" s="414"/>
      <c r="D614" s="415"/>
      <c r="E614" s="416"/>
      <c r="F614" s="417"/>
      <c r="G614" s="417"/>
      <c r="H614" s="417"/>
      <c r="I614" s="415"/>
      <c r="J614" s="415"/>
      <c r="K614" s="415"/>
      <c r="L614" s="415"/>
      <c r="M614" s="415"/>
      <c r="N614" s="420"/>
    </row>
    <row r="615" spans="2:14" ht="16.5" customHeight="1" x14ac:dyDescent="0.45">
      <c r="B615" s="413"/>
      <c r="C615" s="414"/>
      <c r="D615" s="415"/>
      <c r="E615" s="416"/>
      <c r="F615" s="417"/>
      <c r="G615" s="417"/>
      <c r="H615" s="417"/>
      <c r="I615" s="415"/>
      <c r="J615" s="415"/>
      <c r="K615" s="415"/>
      <c r="L615" s="415"/>
      <c r="M615" s="415"/>
      <c r="N615" s="420"/>
    </row>
    <row r="616" spans="2:14" ht="16.5" customHeight="1" x14ac:dyDescent="0.45">
      <c r="B616" s="413"/>
      <c r="C616" s="414"/>
      <c r="D616" s="415"/>
      <c r="E616" s="416"/>
      <c r="F616" s="417"/>
      <c r="G616" s="417"/>
      <c r="H616" s="417"/>
      <c r="I616" s="415"/>
      <c r="J616" s="415"/>
      <c r="K616" s="415"/>
      <c r="L616" s="415"/>
      <c r="M616" s="415"/>
      <c r="N616" s="420"/>
    </row>
    <row r="617" spans="2:14" ht="16.5" customHeight="1" x14ac:dyDescent="0.45">
      <c r="B617" s="413"/>
      <c r="C617" s="414"/>
      <c r="D617" s="415"/>
      <c r="E617" s="416"/>
      <c r="F617" s="417"/>
      <c r="G617" s="417"/>
      <c r="H617" s="417"/>
      <c r="I617" s="415"/>
      <c r="J617" s="415"/>
      <c r="K617" s="415"/>
      <c r="L617" s="415"/>
      <c r="M617" s="415"/>
      <c r="N617" s="420"/>
    </row>
    <row r="618" spans="2:14" ht="16.5" customHeight="1" x14ac:dyDescent="0.45">
      <c r="B618" s="413"/>
      <c r="C618" s="414"/>
      <c r="D618" s="415"/>
      <c r="E618" s="416"/>
      <c r="F618" s="417"/>
      <c r="G618" s="417"/>
      <c r="H618" s="417"/>
      <c r="I618" s="415"/>
      <c r="J618" s="415"/>
      <c r="K618" s="415"/>
      <c r="L618" s="415"/>
      <c r="M618" s="415"/>
      <c r="N618" s="420"/>
    </row>
    <row r="619" spans="2:14" ht="16.5" customHeight="1" x14ac:dyDescent="0.45">
      <c r="B619" s="413"/>
      <c r="C619" s="414"/>
      <c r="D619" s="415"/>
      <c r="E619" s="416"/>
      <c r="F619" s="417"/>
      <c r="G619" s="417"/>
      <c r="H619" s="417"/>
      <c r="I619" s="415"/>
      <c r="J619" s="415"/>
      <c r="K619" s="415"/>
      <c r="L619" s="415"/>
      <c r="M619" s="415"/>
      <c r="N619" s="420"/>
    </row>
    <row r="620" spans="2:14" ht="16.5" customHeight="1" x14ac:dyDescent="0.45">
      <c r="B620" s="413"/>
      <c r="C620" s="414"/>
      <c r="D620" s="415"/>
      <c r="E620" s="416"/>
      <c r="F620" s="417"/>
      <c r="G620" s="417"/>
      <c r="H620" s="417"/>
      <c r="I620" s="415"/>
      <c r="J620" s="415"/>
      <c r="K620" s="415"/>
      <c r="L620" s="415"/>
      <c r="M620" s="415"/>
      <c r="N620" s="420"/>
    </row>
    <row r="621" spans="2:14" ht="16.5" customHeight="1" x14ac:dyDescent="0.45">
      <c r="B621" s="413"/>
      <c r="C621" s="414"/>
      <c r="D621" s="415"/>
      <c r="E621" s="416"/>
      <c r="F621" s="417"/>
      <c r="G621" s="417"/>
      <c r="H621" s="417"/>
      <c r="I621" s="415"/>
      <c r="J621" s="415"/>
      <c r="K621" s="415"/>
      <c r="L621" s="415"/>
      <c r="M621" s="415"/>
      <c r="N621" s="420"/>
    </row>
    <row r="622" spans="2:14" ht="16.5" customHeight="1" x14ac:dyDescent="0.45">
      <c r="B622" s="413"/>
      <c r="C622" s="414"/>
      <c r="D622" s="415"/>
      <c r="E622" s="416"/>
      <c r="F622" s="417"/>
      <c r="G622" s="417"/>
      <c r="H622" s="417"/>
      <c r="I622" s="415"/>
      <c r="J622" s="415"/>
      <c r="K622" s="415"/>
      <c r="L622" s="415"/>
      <c r="M622" s="415"/>
      <c r="N622" s="420"/>
    </row>
    <row r="623" spans="2:14" ht="16.5" customHeight="1" x14ac:dyDescent="0.45">
      <c r="B623" s="413"/>
      <c r="C623" s="414"/>
      <c r="D623" s="415"/>
      <c r="E623" s="416"/>
      <c r="F623" s="417"/>
      <c r="G623" s="417"/>
      <c r="H623" s="417"/>
      <c r="I623" s="415"/>
      <c r="J623" s="415"/>
      <c r="K623" s="415"/>
      <c r="L623" s="415"/>
      <c r="M623" s="415"/>
      <c r="N623" s="420"/>
    </row>
    <row r="624" spans="2:14" ht="16.5" customHeight="1" x14ac:dyDescent="0.45">
      <c r="B624" s="413"/>
      <c r="C624" s="414"/>
      <c r="D624" s="415"/>
      <c r="E624" s="416"/>
      <c r="F624" s="417"/>
      <c r="G624" s="417"/>
      <c r="H624" s="417"/>
      <c r="I624" s="415"/>
      <c r="J624" s="415"/>
      <c r="K624" s="415"/>
      <c r="L624" s="415"/>
      <c r="M624" s="415"/>
      <c r="N624" s="420"/>
    </row>
    <row r="625" spans="2:14" ht="16.5" customHeight="1" x14ac:dyDescent="0.45">
      <c r="B625" s="413"/>
      <c r="C625" s="414"/>
      <c r="D625" s="415"/>
      <c r="E625" s="416"/>
      <c r="F625" s="417"/>
      <c r="G625" s="417"/>
      <c r="H625" s="417"/>
      <c r="I625" s="415"/>
      <c r="J625" s="415"/>
      <c r="K625" s="415"/>
      <c r="L625" s="415"/>
      <c r="M625" s="415"/>
      <c r="N625" s="420"/>
    </row>
    <row r="626" spans="2:14" ht="16.5" customHeight="1" x14ac:dyDescent="0.45">
      <c r="B626" s="413"/>
      <c r="C626" s="414"/>
      <c r="D626" s="415"/>
      <c r="E626" s="416"/>
      <c r="F626" s="417"/>
      <c r="G626" s="417"/>
      <c r="H626" s="417"/>
      <c r="I626" s="415"/>
      <c r="J626" s="415"/>
      <c r="K626" s="415"/>
      <c r="L626" s="415"/>
      <c r="M626" s="415"/>
      <c r="N626" s="420"/>
    </row>
    <row r="627" spans="2:14" ht="16.5" customHeight="1" x14ac:dyDescent="0.45">
      <c r="B627" s="413"/>
      <c r="C627" s="414"/>
      <c r="D627" s="415"/>
      <c r="E627" s="416"/>
      <c r="F627" s="417"/>
      <c r="G627" s="417"/>
      <c r="H627" s="417"/>
      <c r="I627" s="415"/>
      <c r="J627" s="415"/>
      <c r="K627" s="415"/>
      <c r="L627" s="415"/>
      <c r="M627" s="415"/>
      <c r="N627" s="420"/>
    </row>
    <row r="628" spans="2:14" ht="16.5" customHeight="1" x14ac:dyDescent="0.45">
      <c r="B628" s="413"/>
      <c r="C628" s="414"/>
      <c r="D628" s="415"/>
      <c r="E628" s="416"/>
      <c r="F628" s="417"/>
      <c r="G628" s="417"/>
      <c r="H628" s="417"/>
      <c r="I628" s="415"/>
      <c r="J628" s="415"/>
      <c r="K628" s="415"/>
      <c r="L628" s="415"/>
      <c r="M628" s="415"/>
      <c r="N628" s="420"/>
    </row>
    <row r="629" spans="2:14" ht="16.5" customHeight="1" x14ac:dyDescent="0.45">
      <c r="B629" s="413"/>
      <c r="C629" s="414"/>
      <c r="D629" s="415"/>
      <c r="E629" s="416"/>
      <c r="F629" s="417"/>
      <c r="G629" s="417"/>
      <c r="H629" s="417"/>
      <c r="I629" s="415"/>
      <c r="J629" s="415"/>
      <c r="K629" s="415"/>
      <c r="L629" s="415"/>
      <c r="M629" s="415"/>
      <c r="N629" s="420"/>
    </row>
    <row r="630" spans="2:14" ht="16.5" customHeight="1" x14ac:dyDescent="0.45">
      <c r="B630" s="413"/>
      <c r="C630" s="414"/>
      <c r="D630" s="415"/>
      <c r="E630" s="416"/>
      <c r="F630" s="417"/>
      <c r="G630" s="417"/>
      <c r="H630" s="417"/>
      <c r="I630" s="415"/>
      <c r="J630" s="415"/>
      <c r="K630" s="415"/>
      <c r="L630" s="415"/>
      <c r="M630" s="415"/>
      <c r="N630" s="420"/>
    </row>
    <row r="631" spans="2:14" ht="16.5" customHeight="1" x14ac:dyDescent="0.45">
      <c r="B631" s="413"/>
      <c r="C631" s="414"/>
      <c r="D631" s="415"/>
      <c r="E631" s="416"/>
      <c r="F631" s="417"/>
      <c r="G631" s="417"/>
      <c r="H631" s="417"/>
      <c r="I631" s="415"/>
      <c r="J631" s="415"/>
      <c r="K631" s="415"/>
      <c r="L631" s="415"/>
      <c r="M631" s="415"/>
      <c r="N631" s="420"/>
    </row>
    <row r="632" spans="2:14" ht="16.5" customHeight="1" x14ac:dyDescent="0.45">
      <c r="B632" s="413"/>
      <c r="C632" s="414"/>
      <c r="D632" s="415"/>
      <c r="E632" s="416"/>
      <c r="F632" s="417"/>
      <c r="G632" s="417"/>
      <c r="H632" s="417"/>
      <c r="I632" s="415"/>
      <c r="J632" s="415"/>
      <c r="K632" s="415"/>
      <c r="L632" s="415"/>
      <c r="M632" s="415"/>
      <c r="N632" s="420"/>
    </row>
    <row r="633" spans="2:14" ht="16.5" customHeight="1" x14ac:dyDescent="0.45">
      <c r="B633" s="413"/>
      <c r="C633" s="414"/>
      <c r="D633" s="415"/>
      <c r="E633" s="416"/>
      <c r="F633" s="417"/>
      <c r="G633" s="417"/>
      <c r="H633" s="417"/>
      <c r="I633" s="415"/>
      <c r="J633" s="415"/>
      <c r="K633" s="415"/>
      <c r="L633" s="415"/>
      <c r="M633" s="415"/>
      <c r="N633" s="420"/>
    </row>
    <row r="634" spans="2:14" ht="16.5" customHeight="1" x14ac:dyDescent="0.45">
      <c r="B634" s="413"/>
      <c r="C634" s="414"/>
      <c r="D634" s="415"/>
      <c r="E634" s="416"/>
      <c r="F634" s="417"/>
      <c r="G634" s="417"/>
      <c r="H634" s="417"/>
      <c r="I634" s="415"/>
      <c r="J634" s="415"/>
      <c r="K634" s="415"/>
      <c r="L634" s="415"/>
      <c r="M634" s="415"/>
      <c r="N634" s="420"/>
    </row>
    <row r="635" spans="2:14" ht="16.5" customHeight="1" x14ac:dyDescent="0.45">
      <c r="B635" s="413"/>
      <c r="C635" s="414"/>
      <c r="D635" s="415"/>
      <c r="E635" s="416"/>
      <c r="F635" s="417"/>
      <c r="G635" s="417"/>
      <c r="H635" s="417"/>
      <c r="I635" s="415"/>
      <c r="J635" s="415"/>
      <c r="K635" s="415"/>
      <c r="L635" s="415"/>
      <c r="M635" s="415"/>
      <c r="N635" s="420"/>
    </row>
    <row r="636" spans="2:14" ht="16.5" customHeight="1" x14ac:dyDescent="0.45">
      <c r="B636" s="413"/>
      <c r="C636" s="414"/>
      <c r="D636" s="415"/>
      <c r="E636" s="416"/>
      <c r="F636" s="417"/>
      <c r="G636" s="417"/>
      <c r="H636" s="417"/>
      <c r="I636" s="415"/>
      <c r="J636" s="415"/>
      <c r="K636" s="415"/>
      <c r="L636" s="415"/>
      <c r="M636" s="415"/>
      <c r="N636" s="420"/>
    </row>
    <row r="637" spans="2:14" ht="16.5" customHeight="1" x14ac:dyDescent="0.45">
      <c r="B637" s="413"/>
      <c r="C637" s="414"/>
      <c r="D637" s="415"/>
      <c r="E637" s="416"/>
      <c r="F637" s="417"/>
      <c r="G637" s="417"/>
      <c r="H637" s="417"/>
      <c r="I637" s="415"/>
      <c r="J637" s="415"/>
      <c r="K637" s="415"/>
      <c r="L637" s="415"/>
      <c r="M637" s="415"/>
      <c r="N637" s="420"/>
    </row>
    <row r="638" spans="2:14" ht="16.5" customHeight="1" x14ac:dyDescent="0.45">
      <c r="B638" s="413"/>
      <c r="C638" s="414"/>
      <c r="D638" s="415"/>
      <c r="E638" s="416"/>
      <c r="F638" s="417"/>
      <c r="G638" s="417"/>
      <c r="H638" s="417"/>
      <c r="I638" s="415"/>
      <c r="J638" s="415"/>
      <c r="K638" s="415"/>
      <c r="L638" s="415"/>
      <c r="M638" s="415"/>
      <c r="N638" s="420"/>
    </row>
    <row r="639" spans="2:14" ht="16.5" customHeight="1" x14ac:dyDescent="0.45">
      <c r="B639" s="413"/>
      <c r="C639" s="414"/>
      <c r="D639" s="415"/>
      <c r="E639" s="416"/>
      <c r="F639" s="417"/>
      <c r="G639" s="417"/>
      <c r="H639" s="417"/>
      <c r="I639" s="415"/>
      <c r="J639" s="415"/>
      <c r="K639" s="415"/>
      <c r="L639" s="415"/>
      <c r="M639" s="415"/>
      <c r="N639" s="420"/>
    </row>
    <row r="640" spans="2:14" ht="16.5" customHeight="1" x14ac:dyDescent="0.45">
      <c r="B640" s="413"/>
      <c r="C640" s="414"/>
      <c r="D640" s="415"/>
      <c r="E640" s="416"/>
      <c r="F640" s="417"/>
      <c r="G640" s="417"/>
      <c r="H640" s="417"/>
      <c r="I640" s="415"/>
      <c r="J640" s="415"/>
      <c r="K640" s="415"/>
      <c r="L640" s="415"/>
      <c r="M640" s="415"/>
      <c r="N640" s="420"/>
    </row>
    <row r="641" spans="2:14" ht="16.5" customHeight="1" x14ac:dyDescent="0.45">
      <c r="B641" s="413"/>
      <c r="C641" s="414"/>
      <c r="D641" s="415"/>
      <c r="E641" s="416"/>
      <c r="F641" s="417"/>
      <c r="G641" s="417"/>
      <c r="H641" s="417"/>
      <c r="I641" s="415"/>
      <c r="J641" s="415"/>
      <c r="K641" s="415"/>
      <c r="L641" s="415"/>
      <c r="M641" s="415"/>
      <c r="N641" s="420"/>
    </row>
    <row r="642" spans="2:14" ht="16.5" customHeight="1" x14ac:dyDescent="0.45">
      <c r="B642" s="413"/>
      <c r="C642" s="414"/>
      <c r="D642" s="415"/>
      <c r="E642" s="416"/>
      <c r="F642" s="417"/>
      <c r="G642" s="417"/>
      <c r="H642" s="417"/>
      <c r="I642" s="415"/>
      <c r="J642" s="415"/>
      <c r="K642" s="415"/>
      <c r="L642" s="415"/>
      <c r="M642" s="415"/>
      <c r="N642" s="420"/>
    </row>
    <row r="643" spans="2:14" ht="16.5" customHeight="1" x14ac:dyDescent="0.45">
      <c r="B643" s="413"/>
      <c r="C643" s="414"/>
      <c r="D643" s="415"/>
      <c r="E643" s="416"/>
      <c r="F643" s="417"/>
      <c r="G643" s="417"/>
      <c r="H643" s="417"/>
      <c r="I643" s="415"/>
      <c r="J643" s="415"/>
      <c r="K643" s="415"/>
      <c r="L643" s="415"/>
      <c r="M643" s="415"/>
      <c r="N643" s="420"/>
    </row>
    <row r="644" spans="2:14" ht="16.5" customHeight="1" x14ac:dyDescent="0.45">
      <c r="B644" s="413"/>
      <c r="C644" s="414"/>
      <c r="D644" s="415"/>
      <c r="E644" s="416"/>
      <c r="F644" s="417"/>
      <c r="G644" s="417"/>
      <c r="H644" s="417"/>
      <c r="I644" s="415"/>
      <c r="J644" s="415"/>
      <c r="K644" s="415"/>
      <c r="L644" s="415"/>
      <c r="M644" s="415"/>
      <c r="N644" s="420"/>
    </row>
    <row r="645" spans="2:14" ht="16.5" customHeight="1" x14ac:dyDescent="0.45">
      <c r="B645" s="413"/>
      <c r="C645" s="414"/>
      <c r="D645" s="415"/>
      <c r="E645" s="416"/>
      <c r="F645" s="417"/>
      <c r="G645" s="417"/>
      <c r="H645" s="417"/>
      <c r="I645" s="415"/>
      <c r="J645" s="415"/>
      <c r="K645" s="415"/>
      <c r="L645" s="415"/>
      <c r="M645" s="415"/>
      <c r="N645" s="420"/>
    </row>
    <row r="646" spans="2:14" ht="16.5" customHeight="1" x14ac:dyDescent="0.45">
      <c r="B646" s="413"/>
      <c r="C646" s="414"/>
      <c r="D646" s="415"/>
      <c r="E646" s="416"/>
      <c r="F646" s="417"/>
      <c r="G646" s="417"/>
      <c r="H646" s="417"/>
      <c r="I646" s="415"/>
      <c r="J646" s="415"/>
      <c r="K646" s="415"/>
      <c r="L646" s="415"/>
      <c r="M646" s="415"/>
      <c r="N646" s="420"/>
    </row>
    <row r="647" spans="2:14" ht="16.5" customHeight="1" x14ac:dyDescent="0.45">
      <c r="B647" s="413"/>
      <c r="C647" s="414"/>
      <c r="D647" s="415"/>
      <c r="E647" s="416"/>
      <c r="F647" s="417"/>
      <c r="G647" s="417"/>
      <c r="H647" s="417"/>
      <c r="I647" s="415"/>
      <c r="J647" s="415"/>
      <c r="K647" s="415"/>
      <c r="L647" s="415"/>
      <c r="M647" s="415"/>
      <c r="N647" s="420"/>
    </row>
    <row r="648" spans="2:14" ht="16.5" customHeight="1" x14ac:dyDescent="0.45">
      <c r="B648" s="413"/>
      <c r="C648" s="414"/>
      <c r="D648" s="415"/>
      <c r="E648" s="416"/>
      <c r="F648" s="417"/>
      <c r="G648" s="417"/>
      <c r="H648" s="417"/>
      <c r="I648" s="415"/>
      <c r="J648" s="415"/>
      <c r="K648" s="415"/>
      <c r="L648" s="415"/>
      <c r="M648" s="415"/>
      <c r="N648" s="420"/>
    </row>
    <row r="649" spans="2:14" ht="16.5" customHeight="1" x14ac:dyDescent="0.45">
      <c r="B649" s="413"/>
      <c r="C649" s="414"/>
      <c r="D649" s="415"/>
      <c r="E649" s="416"/>
      <c r="F649" s="417"/>
      <c r="G649" s="417"/>
      <c r="H649" s="417"/>
      <c r="I649" s="415"/>
      <c r="J649" s="415"/>
      <c r="K649" s="415"/>
      <c r="L649" s="415"/>
      <c r="M649" s="415"/>
      <c r="N649" s="420"/>
    </row>
    <row r="650" spans="2:14" ht="16.5" customHeight="1" x14ac:dyDescent="0.45">
      <c r="B650" s="413"/>
      <c r="C650" s="414"/>
      <c r="D650" s="415"/>
      <c r="E650" s="416"/>
      <c r="F650" s="417"/>
      <c r="G650" s="417"/>
      <c r="H650" s="417"/>
      <c r="I650" s="415"/>
      <c r="J650" s="415"/>
      <c r="K650" s="415"/>
      <c r="L650" s="415"/>
      <c r="M650" s="415"/>
      <c r="N650" s="420"/>
    </row>
    <row r="651" spans="2:14" ht="16.5" customHeight="1" x14ac:dyDescent="0.45">
      <c r="B651" s="413"/>
      <c r="C651" s="414"/>
      <c r="D651" s="415"/>
      <c r="E651" s="416"/>
      <c r="F651" s="417"/>
      <c r="G651" s="417"/>
      <c r="H651" s="417"/>
      <c r="I651" s="415"/>
      <c r="J651" s="415"/>
      <c r="K651" s="415"/>
      <c r="L651" s="415"/>
      <c r="M651" s="415"/>
      <c r="N651" s="420"/>
    </row>
    <row r="652" spans="2:14" ht="16.5" customHeight="1" x14ac:dyDescent="0.45">
      <c r="B652" s="413"/>
      <c r="C652" s="414"/>
      <c r="D652" s="415"/>
      <c r="E652" s="416"/>
      <c r="F652" s="417"/>
      <c r="G652" s="417"/>
      <c r="H652" s="417"/>
      <c r="I652" s="415"/>
      <c r="J652" s="415"/>
      <c r="K652" s="415"/>
      <c r="L652" s="415"/>
      <c r="M652" s="415"/>
      <c r="N652" s="420"/>
    </row>
    <row r="653" spans="2:14" ht="16.5" customHeight="1" x14ac:dyDescent="0.45">
      <c r="B653" s="413"/>
      <c r="C653" s="414"/>
      <c r="D653" s="415"/>
      <c r="E653" s="416"/>
      <c r="F653" s="417"/>
      <c r="G653" s="417"/>
      <c r="H653" s="417"/>
      <c r="I653" s="415"/>
      <c r="J653" s="415"/>
      <c r="K653" s="415"/>
      <c r="L653" s="415"/>
      <c r="M653" s="415"/>
      <c r="N653" s="420"/>
    </row>
    <row r="654" spans="2:14" ht="16.5" customHeight="1" x14ac:dyDescent="0.45">
      <c r="B654" s="413"/>
      <c r="C654" s="414"/>
      <c r="D654" s="415"/>
      <c r="E654" s="416"/>
      <c r="F654" s="417"/>
      <c r="G654" s="417"/>
      <c r="H654" s="417"/>
      <c r="I654" s="415"/>
      <c r="J654" s="415"/>
      <c r="K654" s="415"/>
      <c r="L654" s="415"/>
      <c r="M654" s="415"/>
      <c r="N654" s="420"/>
    </row>
    <row r="655" spans="2:14" ht="16.5" customHeight="1" x14ac:dyDescent="0.45">
      <c r="B655" s="413"/>
      <c r="C655" s="414"/>
      <c r="D655" s="415"/>
      <c r="E655" s="416"/>
      <c r="F655" s="417"/>
      <c r="G655" s="417"/>
      <c r="H655" s="417"/>
      <c r="I655" s="415"/>
      <c r="J655" s="415"/>
      <c r="K655" s="415"/>
      <c r="L655" s="415"/>
      <c r="M655" s="415"/>
      <c r="N655" s="420"/>
    </row>
    <row r="656" spans="2:14" ht="16.5" customHeight="1" x14ac:dyDescent="0.45">
      <c r="B656" s="413"/>
      <c r="C656" s="414"/>
      <c r="D656" s="415"/>
      <c r="E656" s="416"/>
      <c r="F656" s="417"/>
      <c r="G656" s="417"/>
      <c r="H656" s="417"/>
      <c r="I656" s="415"/>
      <c r="J656" s="415"/>
      <c r="K656" s="415"/>
      <c r="L656" s="415"/>
      <c r="M656" s="415"/>
      <c r="N656" s="420"/>
    </row>
    <row r="657" spans="2:14" ht="16.5" customHeight="1" x14ac:dyDescent="0.45">
      <c r="B657" s="413"/>
      <c r="C657" s="414"/>
      <c r="D657" s="415"/>
      <c r="E657" s="416"/>
      <c r="F657" s="417"/>
      <c r="G657" s="417"/>
      <c r="H657" s="417"/>
      <c r="I657" s="415"/>
      <c r="J657" s="415"/>
      <c r="K657" s="415"/>
      <c r="L657" s="415"/>
      <c r="M657" s="415"/>
      <c r="N657" s="420"/>
    </row>
    <row r="658" spans="2:14" ht="16.5" customHeight="1" x14ac:dyDescent="0.45">
      <c r="B658" s="413"/>
      <c r="C658" s="414"/>
      <c r="D658" s="415"/>
      <c r="E658" s="416"/>
      <c r="F658" s="417"/>
      <c r="G658" s="417"/>
      <c r="H658" s="417"/>
      <c r="I658" s="415"/>
      <c r="J658" s="415"/>
      <c r="K658" s="415"/>
      <c r="L658" s="415"/>
      <c r="M658" s="415"/>
      <c r="N658" s="420"/>
    </row>
    <row r="659" spans="2:14" ht="16.5" customHeight="1" x14ac:dyDescent="0.45">
      <c r="B659" s="413"/>
      <c r="C659" s="414"/>
      <c r="D659" s="415"/>
      <c r="E659" s="416"/>
      <c r="F659" s="417"/>
      <c r="G659" s="417"/>
      <c r="H659" s="417"/>
      <c r="I659" s="415"/>
      <c r="J659" s="415"/>
      <c r="K659" s="415"/>
      <c r="L659" s="415"/>
      <c r="M659" s="415"/>
      <c r="N659" s="420"/>
    </row>
    <row r="660" spans="2:14" ht="16.5" customHeight="1" x14ac:dyDescent="0.45">
      <c r="B660" s="413"/>
      <c r="C660" s="414"/>
      <c r="D660" s="415"/>
      <c r="E660" s="416"/>
      <c r="F660" s="417"/>
      <c r="G660" s="417"/>
      <c r="H660" s="417"/>
      <c r="I660" s="415"/>
      <c r="J660" s="415"/>
      <c r="K660" s="415"/>
      <c r="L660" s="415"/>
      <c r="M660" s="415"/>
      <c r="N660" s="420"/>
    </row>
    <row r="661" spans="2:14" ht="16.5" customHeight="1" x14ac:dyDescent="0.45">
      <c r="B661" s="413"/>
      <c r="C661" s="414"/>
      <c r="D661" s="415"/>
      <c r="E661" s="416"/>
      <c r="F661" s="417"/>
      <c r="G661" s="417"/>
      <c r="H661" s="417"/>
      <c r="I661" s="415"/>
      <c r="J661" s="415"/>
      <c r="K661" s="415"/>
      <c r="L661" s="415"/>
      <c r="M661" s="415"/>
      <c r="N661" s="420"/>
    </row>
    <row r="662" spans="2:14" ht="16.5" customHeight="1" x14ac:dyDescent="0.45">
      <c r="B662" s="413"/>
      <c r="C662" s="414"/>
      <c r="D662" s="415"/>
      <c r="E662" s="416"/>
      <c r="F662" s="417"/>
      <c r="G662" s="417"/>
      <c r="H662" s="417"/>
      <c r="I662" s="415"/>
      <c r="J662" s="415"/>
      <c r="K662" s="415"/>
      <c r="L662" s="415"/>
      <c r="M662" s="415"/>
      <c r="N662" s="420"/>
    </row>
    <row r="663" spans="2:14" ht="16.5" customHeight="1" x14ac:dyDescent="0.45">
      <c r="B663" s="413"/>
      <c r="C663" s="414"/>
      <c r="D663" s="415"/>
      <c r="E663" s="416"/>
      <c r="F663" s="417"/>
      <c r="G663" s="417"/>
      <c r="H663" s="417"/>
      <c r="I663" s="415"/>
      <c r="J663" s="415"/>
      <c r="K663" s="415"/>
      <c r="L663" s="415"/>
      <c r="M663" s="415"/>
      <c r="N663" s="420"/>
    </row>
    <row r="664" spans="2:14" ht="16.5" customHeight="1" x14ac:dyDescent="0.45">
      <c r="B664" s="413"/>
      <c r="C664" s="414"/>
      <c r="D664" s="415"/>
      <c r="E664" s="416"/>
      <c r="F664" s="417"/>
      <c r="G664" s="417"/>
      <c r="H664" s="417"/>
      <c r="I664" s="415"/>
      <c r="J664" s="415"/>
      <c r="K664" s="415"/>
      <c r="L664" s="415"/>
      <c r="M664" s="415"/>
      <c r="N664" s="420"/>
    </row>
    <row r="665" spans="2:14" ht="16.5" customHeight="1" x14ac:dyDescent="0.45">
      <c r="B665" s="413"/>
      <c r="C665" s="414"/>
      <c r="D665" s="415"/>
      <c r="E665" s="416"/>
      <c r="F665" s="417"/>
      <c r="G665" s="417"/>
      <c r="H665" s="417"/>
      <c r="I665" s="415"/>
      <c r="J665" s="415"/>
      <c r="K665" s="415"/>
      <c r="L665" s="415"/>
      <c r="M665" s="415"/>
      <c r="N665" s="420"/>
    </row>
    <row r="666" spans="2:14" ht="16.5" customHeight="1" x14ac:dyDescent="0.45">
      <c r="B666" s="413"/>
      <c r="C666" s="414"/>
      <c r="D666" s="415"/>
      <c r="E666" s="416"/>
      <c r="F666" s="417"/>
      <c r="G666" s="417"/>
      <c r="H666" s="417"/>
      <c r="I666" s="415"/>
      <c r="J666" s="415"/>
      <c r="K666" s="415"/>
      <c r="L666" s="415"/>
      <c r="M666" s="415"/>
      <c r="N666" s="420"/>
    </row>
    <row r="667" spans="2:14" ht="16.5" customHeight="1" x14ac:dyDescent="0.45">
      <c r="B667" s="413"/>
      <c r="C667" s="414"/>
      <c r="D667" s="415"/>
      <c r="E667" s="416"/>
      <c r="F667" s="417"/>
      <c r="G667" s="417"/>
      <c r="H667" s="417"/>
      <c r="I667" s="415"/>
      <c r="J667" s="415"/>
      <c r="K667" s="415"/>
      <c r="L667" s="415"/>
      <c r="M667" s="415"/>
      <c r="N667" s="420"/>
    </row>
    <row r="668" spans="2:14" ht="16.5" customHeight="1" x14ac:dyDescent="0.45">
      <c r="B668" s="413"/>
      <c r="C668" s="414"/>
      <c r="D668" s="415"/>
      <c r="E668" s="416"/>
      <c r="F668" s="417"/>
      <c r="G668" s="417"/>
      <c r="H668" s="417"/>
      <c r="I668" s="415"/>
      <c r="J668" s="415"/>
      <c r="K668" s="415"/>
      <c r="L668" s="415"/>
      <c r="M668" s="415"/>
      <c r="N668" s="420"/>
    </row>
    <row r="669" spans="2:14" ht="16.5" customHeight="1" x14ac:dyDescent="0.45">
      <c r="B669" s="413"/>
      <c r="C669" s="414"/>
      <c r="D669" s="415"/>
      <c r="E669" s="416"/>
      <c r="F669" s="417"/>
      <c r="G669" s="417"/>
      <c r="H669" s="417"/>
      <c r="I669" s="415"/>
      <c r="J669" s="415"/>
      <c r="K669" s="415"/>
      <c r="L669" s="415"/>
      <c r="M669" s="415"/>
      <c r="N669" s="420"/>
    </row>
    <row r="670" spans="2:14" ht="16.5" customHeight="1" x14ac:dyDescent="0.45">
      <c r="B670" s="413"/>
      <c r="C670" s="414"/>
      <c r="D670" s="415"/>
      <c r="E670" s="416"/>
      <c r="F670" s="417"/>
      <c r="G670" s="417"/>
      <c r="H670" s="417"/>
      <c r="I670" s="415"/>
      <c r="J670" s="415"/>
      <c r="K670" s="415"/>
      <c r="L670" s="415"/>
      <c r="M670" s="415"/>
      <c r="N670" s="420"/>
    </row>
    <row r="671" spans="2:14" ht="16.5" customHeight="1" x14ac:dyDescent="0.45">
      <c r="B671" s="413"/>
      <c r="C671" s="414"/>
      <c r="D671" s="415"/>
      <c r="E671" s="416"/>
      <c r="F671" s="417"/>
      <c r="G671" s="417"/>
      <c r="H671" s="417"/>
      <c r="I671" s="415"/>
      <c r="J671" s="415"/>
      <c r="K671" s="415"/>
      <c r="L671" s="415"/>
      <c r="M671" s="415"/>
      <c r="N671" s="420"/>
    </row>
    <row r="672" spans="2:14" ht="16.5" customHeight="1" x14ac:dyDescent="0.45">
      <c r="B672" s="413"/>
      <c r="C672" s="414"/>
      <c r="D672" s="415"/>
      <c r="E672" s="416"/>
      <c r="F672" s="417"/>
      <c r="G672" s="417"/>
      <c r="H672" s="417"/>
      <c r="I672" s="415"/>
      <c r="J672" s="415"/>
      <c r="K672" s="415"/>
      <c r="L672" s="415"/>
      <c r="M672" s="415"/>
      <c r="N672" s="420"/>
    </row>
    <row r="673" spans="2:14" ht="16.5" customHeight="1" x14ac:dyDescent="0.45">
      <c r="B673" s="413"/>
      <c r="C673" s="414"/>
      <c r="D673" s="415"/>
      <c r="E673" s="416"/>
      <c r="F673" s="417"/>
      <c r="G673" s="417"/>
      <c r="H673" s="417"/>
      <c r="I673" s="415"/>
      <c r="J673" s="415"/>
      <c r="K673" s="415"/>
      <c r="L673" s="415"/>
      <c r="M673" s="415"/>
      <c r="N673" s="420"/>
    </row>
    <row r="674" spans="2:14" ht="16.5" customHeight="1" x14ac:dyDescent="0.45">
      <c r="B674" s="413"/>
      <c r="C674" s="414"/>
      <c r="D674" s="415"/>
      <c r="E674" s="416"/>
      <c r="F674" s="417"/>
      <c r="G674" s="417"/>
      <c r="H674" s="417"/>
      <c r="I674" s="415"/>
      <c r="J674" s="415"/>
      <c r="K674" s="415"/>
      <c r="L674" s="415"/>
      <c r="M674" s="415"/>
      <c r="N674" s="420"/>
    </row>
    <row r="675" spans="2:14" ht="16.5" customHeight="1" x14ac:dyDescent="0.45">
      <c r="B675" s="413"/>
      <c r="C675" s="414"/>
      <c r="D675" s="415"/>
      <c r="E675" s="416"/>
      <c r="F675" s="417"/>
      <c r="G675" s="417"/>
      <c r="H675" s="417"/>
      <c r="I675" s="415"/>
      <c r="J675" s="415"/>
      <c r="K675" s="415"/>
      <c r="L675" s="415"/>
      <c r="M675" s="415"/>
      <c r="N675" s="420"/>
    </row>
    <row r="676" spans="2:14" ht="16.5" customHeight="1" x14ac:dyDescent="0.45">
      <c r="B676" s="413"/>
      <c r="C676" s="414"/>
      <c r="D676" s="415"/>
      <c r="E676" s="416"/>
      <c r="F676" s="417"/>
      <c r="G676" s="417"/>
      <c r="H676" s="417"/>
      <c r="I676" s="415"/>
      <c r="J676" s="415"/>
      <c r="K676" s="415"/>
      <c r="L676" s="415"/>
      <c r="M676" s="415"/>
      <c r="N676" s="420"/>
    </row>
    <row r="677" spans="2:14" ht="16.5" customHeight="1" x14ac:dyDescent="0.45">
      <c r="B677" s="413"/>
      <c r="C677" s="414"/>
      <c r="D677" s="415"/>
      <c r="E677" s="416"/>
      <c r="F677" s="417"/>
      <c r="G677" s="417"/>
      <c r="H677" s="417"/>
      <c r="I677" s="415"/>
      <c r="J677" s="415"/>
      <c r="K677" s="415"/>
      <c r="L677" s="415"/>
      <c r="M677" s="415"/>
      <c r="N677" s="420"/>
    </row>
    <row r="678" spans="2:14" ht="16.5" customHeight="1" x14ac:dyDescent="0.45">
      <c r="B678" s="413"/>
      <c r="C678" s="414"/>
      <c r="D678" s="415"/>
      <c r="E678" s="416"/>
      <c r="F678" s="417"/>
      <c r="G678" s="417"/>
      <c r="H678" s="417"/>
      <c r="I678" s="415"/>
      <c r="J678" s="415"/>
      <c r="K678" s="415"/>
      <c r="L678" s="415"/>
      <c r="M678" s="415"/>
      <c r="N678" s="420"/>
    </row>
    <row r="679" spans="2:14" ht="16.5" customHeight="1" x14ac:dyDescent="0.45">
      <c r="B679" s="413"/>
      <c r="C679" s="414"/>
      <c r="D679" s="415"/>
      <c r="E679" s="416"/>
      <c r="F679" s="417"/>
      <c r="G679" s="417"/>
      <c r="H679" s="417"/>
      <c r="I679" s="415"/>
      <c r="J679" s="415"/>
      <c r="K679" s="415"/>
      <c r="L679" s="415"/>
      <c r="M679" s="415"/>
      <c r="N679" s="420"/>
    </row>
    <row r="680" spans="2:14" ht="16.5" customHeight="1" x14ac:dyDescent="0.45">
      <c r="B680" s="413"/>
      <c r="C680" s="414"/>
      <c r="D680" s="415"/>
      <c r="E680" s="416"/>
      <c r="F680" s="417"/>
      <c r="G680" s="417"/>
      <c r="H680" s="417"/>
      <c r="I680" s="415"/>
      <c r="J680" s="415"/>
      <c r="K680" s="415"/>
      <c r="L680" s="415"/>
      <c r="M680" s="415"/>
      <c r="N680" s="420"/>
    </row>
    <row r="681" spans="2:14" ht="16.5" customHeight="1" x14ac:dyDescent="0.45">
      <c r="B681" s="413"/>
      <c r="C681" s="414"/>
      <c r="D681" s="415"/>
      <c r="E681" s="416"/>
      <c r="F681" s="417"/>
      <c r="G681" s="417"/>
      <c r="H681" s="417"/>
      <c r="I681" s="415"/>
      <c r="J681" s="415"/>
      <c r="K681" s="415"/>
      <c r="L681" s="415"/>
      <c r="M681" s="415"/>
      <c r="N681" s="420"/>
    </row>
    <row r="682" spans="2:14" ht="16.5" customHeight="1" x14ac:dyDescent="0.45">
      <c r="B682" s="413"/>
      <c r="C682" s="414"/>
      <c r="D682" s="415"/>
      <c r="E682" s="416"/>
      <c r="F682" s="417"/>
      <c r="G682" s="417"/>
      <c r="H682" s="417"/>
      <c r="I682" s="415"/>
      <c r="J682" s="415"/>
      <c r="K682" s="415"/>
      <c r="L682" s="415"/>
      <c r="M682" s="415"/>
      <c r="N682" s="420"/>
    </row>
    <row r="683" spans="2:14" ht="16.5" customHeight="1" x14ac:dyDescent="0.45">
      <c r="B683" s="413"/>
      <c r="C683" s="414"/>
      <c r="D683" s="415"/>
      <c r="E683" s="416"/>
      <c r="F683" s="417"/>
      <c r="G683" s="417"/>
      <c r="H683" s="417"/>
      <c r="I683" s="415"/>
      <c r="J683" s="415"/>
      <c r="K683" s="415"/>
      <c r="L683" s="415"/>
      <c r="M683" s="415"/>
      <c r="N683" s="420"/>
    </row>
    <row r="684" spans="2:14" ht="16.5" customHeight="1" x14ac:dyDescent="0.45">
      <c r="B684" s="413"/>
      <c r="C684" s="414"/>
      <c r="D684" s="415"/>
      <c r="E684" s="416"/>
      <c r="F684" s="417"/>
      <c r="G684" s="417"/>
      <c r="H684" s="417"/>
      <c r="I684" s="415"/>
      <c r="J684" s="415"/>
      <c r="K684" s="415"/>
      <c r="L684" s="415"/>
      <c r="M684" s="415"/>
      <c r="N684" s="420"/>
    </row>
    <row r="685" spans="2:14" ht="16.5" customHeight="1" x14ac:dyDescent="0.45">
      <c r="B685" s="413"/>
      <c r="C685" s="414"/>
      <c r="D685" s="415"/>
      <c r="E685" s="416"/>
      <c r="F685" s="417"/>
      <c r="G685" s="417"/>
      <c r="H685" s="417"/>
      <c r="I685" s="415"/>
      <c r="J685" s="415"/>
      <c r="K685" s="415"/>
      <c r="L685" s="415"/>
      <c r="M685" s="415"/>
      <c r="N685" s="420"/>
    </row>
    <row r="686" spans="2:14" ht="16.5" customHeight="1" x14ac:dyDescent="0.45">
      <c r="B686" s="413"/>
      <c r="C686" s="414"/>
      <c r="D686" s="415"/>
      <c r="E686" s="416"/>
      <c r="F686" s="417"/>
      <c r="G686" s="417"/>
      <c r="H686" s="417"/>
      <c r="I686" s="415"/>
      <c r="J686" s="415"/>
      <c r="K686" s="415"/>
      <c r="L686" s="415"/>
      <c r="M686" s="415"/>
      <c r="N686" s="420"/>
    </row>
    <row r="687" spans="2:14" ht="16.5" customHeight="1" x14ac:dyDescent="0.45">
      <c r="B687" s="413"/>
      <c r="C687" s="414"/>
      <c r="D687" s="415"/>
      <c r="E687" s="416"/>
      <c r="F687" s="417"/>
      <c r="G687" s="417"/>
      <c r="H687" s="417"/>
      <c r="I687" s="415"/>
      <c r="J687" s="415"/>
      <c r="K687" s="415"/>
      <c r="L687" s="415"/>
      <c r="M687" s="415"/>
      <c r="N687" s="420"/>
    </row>
    <row r="688" spans="2:14" ht="16.5" customHeight="1" x14ac:dyDescent="0.45">
      <c r="B688" s="413"/>
      <c r="C688" s="414"/>
      <c r="D688" s="415"/>
      <c r="E688" s="416"/>
      <c r="F688" s="417"/>
      <c r="G688" s="417"/>
      <c r="H688" s="417"/>
      <c r="I688" s="415"/>
      <c r="J688" s="415"/>
      <c r="K688" s="415"/>
      <c r="L688" s="415"/>
      <c r="M688" s="415"/>
      <c r="N688" s="420"/>
    </row>
    <row r="689" spans="2:14" ht="16.5" customHeight="1" x14ac:dyDescent="0.45">
      <c r="B689" s="413"/>
      <c r="C689" s="414"/>
      <c r="D689" s="415"/>
      <c r="E689" s="416"/>
      <c r="F689" s="417"/>
      <c r="G689" s="417"/>
      <c r="H689" s="417"/>
      <c r="I689" s="415"/>
      <c r="J689" s="415"/>
      <c r="K689" s="415"/>
      <c r="L689" s="415"/>
      <c r="M689" s="415"/>
      <c r="N689" s="420"/>
    </row>
    <row r="690" spans="2:14" ht="16.5" customHeight="1" x14ac:dyDescent="0.45">
      <c r="B690" s="413"/>
      <c r="C690" s="414"/>
      <c r="D690" s="415"/>
      <c r="E690" s="416"/>
      <c r="F690" s="417"/>
      <c r="G690" s="417"/>
      <c r="H690" s="417"/>
      <c r="I690" s="415"/>
      <c r="J690" s="415"/>
      <c r="K690" s="415"/>
      <c r="L690" s="415"/>
      <c r="M690" s="415"/>
      <c r="N690" s="420"/>
    </row>
    <row r="691" spans="2:14" ht="16.5" customHeight="1" x14ac:dyDescent="0.45">
      <c r="B691" s="413"/>
      <c r="C691" s="414"/>
      <c r="D691" s="415"/>
      <c r="E691" s="416"/>
      <c r="F691" s="417"/>
      <c r="G691" s="417"/>
      <c r="H691" s="417"/>
      <c r="I691" s="415"/>
      <c r="J691" s="415"/>
      <c r="K691" s="415"/>
      <c r="L691" s="415"/>
      <c r="M691" s="415"/>
      <c r="N691" s="420"/>
    </row>
    <row r="692" spans="2:14" ht="16.5" customHeight="1" x14ac:dyDescent="0.45">
      <c r="B692" s="413"/>
      <c r="C692" s="414"/>
      <c r="D692" s="415"/>
      <c r="E692" s="416"/>
      <c r="F692" s="417"/>
      <c r="G692" s="417"/>
      <c r="H692" s="417"/>
      <c r="I692" s="415"/>
      <c r="J692" s="415"/>
      <c r="K692" s="415"/>
      <c r="L692" s="415"/>
      <c r="M692" s="415"/>
      <c r="N692" s="420"/>
    </row>
    <row r="693" spans="2:14" ht="16.5" customHeight="1" x14ac:dyDescent="0.45">
      <c r="B693" s="413"/>
      <c r="C693" s="414"/>
      <c r="D693" s="415"/>
      <c r="E693" s="416"/>
      <c r="F693" s="417"/>
      <c r="G693" s="417"/>
      <c r="H693" s="417"/>
      <c r="I693" s="415"/>
      <c r="J693" s="415"/>
      <c r="K693" s="415"/>
      <c r="L693" s="415"/>
      <c r="M693" s="415"/>
      <c r="N693" s="420"/>
    </row>
    <row r="694" spans="2:14" ht="16.5" customHeight="1" x14ac:dyDescent="0.45">
      <c r="B694" s="413"/>
      <c r="C694" s="414"/>
      <c r="D694" s="415"/>
      <c r="E694" s="416"/>
      <c r="F694" s="417"/>
      <c r="G694" s="417"/>
      <c r="H694" s="417"/>
      <c r="I694" s="415"/>
      <c r="J694" s="415"/>
      <c r="K694" s="415"/>
      <c r="L694" s="415"/>
      <c r="M694" s="415"/>
      <c r="N694" s="420"/>
    </row>
    <row r="695" spans="2:14" ht="16.5" customHeight="1" x14ac:dyDescent="0.45">
      <c r="B695" s="413"/>
      <c r="C695" s="414"/>
      <c r="D695" s="415"/>
      <c r="E695" s="416"/>
      <c r="F695" s="417"/>
      <c r="G695" s="417"/>
      <c r="H695" s="417"/>
      <c r="I695" s="415"/>
      <c r="J695" s="415"/>
      <c r="K695" s="415"/>
      <c r="L695" s="415"/>
      <c r="M695" s="415"/>
      <c r="N695" s="420"/>
    </row>
    <row r="696" spans="2:14" ht="16.5" customHeight="1" x14ac:dyDescent="0.45">
      <c r="B696" s="413"/>
      <c r="C696" s="414"/>
      <c r="D696" s="415"/>
      <c r="E696" s="416"/>
      <c r="F696" s="417"/>
      <c r="G696" s="417"/>
      <c r="H696" s="417"/>
      <c r="I696" s="415"/>
      <c r="J696" s="415"/>
      <c r="K696" s="415"/>
      <c r="L696" s="415"/>
      <c r="M696" s="415"/>
      <c r="N696" s="420"/>
    </row>
    <row r="697" spans="2:14" ht="16.5" customHeight="1" x14ac:dyDescent="0.45">
      <c r="B697" s="413"/>
      <c r="C697" s="414"/>
      <c r="D697" s="415"/>
      <c r="E697" s="416"/>
      <c r="F697" s="417"/>
      <c r="G697" s="417"/>
      <c r="H697" s="417"/>
      <c r="I697" s="415"/>
      <c r="J697" s="415"/>
      <c r="K697" s="415"/>
      <c r="L697" s="415"/>
      <c r="M697" s="415"/>
      <c r="N697" s="420"/>
    </row>
    <row r="698" spans="2:14" ht="16.5" customHeight="1" x14ac:dyDescent="0.45">
      <c r="B698" s="413"/>
      <c r="C698" s="414"/>
      <c r="D698" s="415"/>
      <c r="E698" s="416"/>
      <c r="F698" s="417"/>
      <c r="G698" s="417"/>
      <c r="H698" s="417"/>
      <c r="I698" s="415"/>
      <c r="J698" s="415"/>
      <c r="K698" s="415"/>
      <c r="L698" s="415"/>
      <c r="M698" s="415"/>
      <c r="N698" s="420"/>
    </row>
    <row r="699" spans="2:14" ht="16.5" customHeight="1" x14ac:dyDescent="0.45">
      <c r="B699" s="413"/>
      <c r="C699" s="414"/>
      <c r="D699" s="415"/>
      <c r="E699" s="416"/>
      <c r="F699" s="417"/>
      <c r="G699" s="417"/>
      <c r="H699" s="417"/>
      <c r="I699" s="415"/>
      <c r="J699" s="415"/>
      <c r="K699" s="415"/>
      <c r="L699" s="415"/>
      <c r="M699" s="415"/>
      <c r="N699" s="420"/>
    </row>
    <row r="700" spans="2:14" ht="16.5" customHeight="1" x14ac:dyDescent="0.45">
      <c r="B700" s="413"/>
      <c r="C700" s="414"/>
      <c r="D700" s="415"/>
      <c r="E700" s="416"/>
      <c r="F700" s="417"/>
      <c r="G700" s="417"/>
      <c r="H700" s="417"/>
      <c r="I700" s="415"/>
      <c r="J700" s="415"/>
      <c r="K700" s="415"/>
      <c r="L700" s="415"/>
      <c r="M700" s="415"/>
      <c r="N700" s="420"/>
    </row>
    <row r="701" spans="2:14" ht="16.5" customHeight="1" x14ac:dyDescent="0.45">
      <c r="B701" s="413"/>
      <c r="C701" s="414"/>
      <c r="D701" s="415"/>
      <c r="E701" s="416"/>
      <c r="F701" s="417"/>
      <c r="G701" s="417"/>
      <c r="H701" s="417"/>
      <c r="I701" s="415"/>
      <c r="J701" s="415"/>
      <c r="K701" s="415"/>
      <c r="L701" s="415"/>
      <c r="M701" s="415"/>
      <c r="N701" s="420"/>
    </row>
    <row r="702" spans="2:14" ht="16.5" customHeight="1" x14ac:dyDescent="0.45">
      <c r="B702" s="413"/>
      <c r="C702" s="414"/>
      <c r="D702" s="415"/>
      <c r="E702" s="416"/>
      <c r="F702" s="417"/>
      <c r="G702" s="417"/>
      <c r="H702" s="417"/>
      <c r="I702" s="415"/>
      <c r="J702" s="415"/>
      <c r="K702" s="415"/>
      <c r="L702" s="415"/>
      <c r="M702" s="415"/>
      <c r="N702" s="420"/>
    </row>
    <row r="703" spans="2:14" ht="16.5" customHeight="1" x14ac:dyDescent="0.45">
      <c r="B703" s="413"/>
      <c r="C703" s="414"/>
      <c r="D703" s="415"/>
      <c r="E703" s="416"/>
      <c r="F703" s="417"/>
      <c r="G703" s="417"/>
      <c r="H703" s="417"/>
      <c r="I703" s="415"/>
      <c r="J703" s="415"/>
      <c r="K703" s="415"/>
      <c r="L703" s="415"/>
      <c r="M703" s="415"/>
      <c r="N703" s="420"/>
    </row>
    <row r="704" spans="2:14" ht="16.5" customHeight="1" x14ac:dyDescent="0.45">
      <c r="B704" s="413"/>
      <c r="C704" s="414"/>
      <c r="D704" s="415"/>
      <c r="E704" s="416"/>
      <c r="F704" s="417"/>
      <c r="G704" s="417"/>
      <c r="H704" s="417"/>
      <c r="I704" s="415"/>
      <c r="J704" s="415"/>
      <c r="K704" s="415"/>
      <c r="L704" s="415"/>
      <c r="M704" s="415"/>
      <c r="N704" s="420"/>
    </row>
    <row r="705" spans="2:14" ht="16.5" customHeight="1" x14ac:dyDescent="0.45">
      <c r="B705" s="413"/>
      <c r="C705" s="414"/>
      <c r="D705" s="415"/>
      <c r="E705" s="416"/>
      <c r="F705" s="417"/>
      <c r="G705" s="417"/>
      <c r="H705" s="417"/>
      <c r="I705" s="415"/>
      <c r="J705" s="415"/>
      <c r="K705" s="415"/>
      <c r="L705" s="415"/>
      <c r="M705" s="415"/>
      <c r="N705" s="420"/>
    </row>
    <row r="706" spans="2:14" ht="16.5" customHeight="1" x14ac:dyDescent="0.45">
      <c r="B706" s="413"/>
      <c r="C706" s="414"/>
      <c r="D706" s="415"/>
      <c r="E706" s="416"/>
      <c r="F706" s="417"/>
      <c r="G706" s="417"/>
      <c r="H706" s="417"/>
      <c r="I706" s="415"/>
      <c r="J706" s="415"/>
      <c r="K706" s="415"/>
      <c r="L706" s="415"/>
      <c r="M706" s="415"/>
      <c r="N706" s="420"/>
    </row>
    <row r="707" spans="2:14" ht="16.5" customHeight="1" x14ac:dyDescent="0.45">
      <c r="B707" s="413"/>
      <c r="C707" s="414"/>
      <c r="D707" s="415"/>
      <c r="E707" s="416"/>
      <c r="F707" s="417"/>
      <c r="G707" s="417"/>
      <c r="H707" s="417"/>
      <c r="I707" s="415"/>
      <c r="J707" s="415"/>
      <c r="K707" s="415"/>
      <c r="L707" s="415"/>
      <c r="M707" s="415"/>
      <c r="N707" s="420"/>
    </row>
    <row r="708" spans="2:14" ht="16.5" customHeight="1" x14ac:dyDescent="0.45">
      <c r="B708" s="413"/>
      <c r="C708" s="414"/>
      <c r="D708" s="415"/>
      <c r="E708" s="416"/>
      <c r="F708" s="417"/>
      <c r="G708" s="417"/>
      <c r="H708" s="417"/>
      <c r="I708" s="415"/>
      <c r="J708" s="415"/>
      <c r="K708" s="415"/>
      <c r="L708" s="415"/>
      <c r="M708" s="415"/>
      <c r="N708" s="420"/>
    </row>
    <row r="709" spans="2:14" ht="16.5" customHeight="1" x14ac:dyDescent="0.45">
      <c r="B709" s="413"/>
      <c r="C709" s="414"/>
      <c r="D709" s="415"/>
      <c r="E709" s="416"/>
      <c r="F709" s="417"/>
      <c r="G709" s="417"/>
      <c r="H709" s="417"/>
      <c r="I709" s="415"/>
      <c r="J709" s="415"/>
      <c r="K709" s="415"/>
      <c r="L709" s="415"/>
      <c r="M709" s="415"/>
      <c r="N709" s="420"/>
    </row>
    <row r="710" spans="2:14" ht="16.5" customHeight="1" x14ac:dyDescent="0.45">
      <c r="B710" s="413"/>
      <c r="C710" s="414"/>
      <c r="D710" s="415"/>
      <c r="E710" s="416"/>
      <c r="F710" s="417"/>
      <c r="G710" s="417"/>
      <c r="H710" s="417"/>
      <c r="I710" s="415"/>
      <c r="J710" s="415"/>
      <c r="K710" s="415"/>
      <c r="L710" s="415"/>
      <c r="M710" s="415"/>
      <c r="N710" s="420"/>
    </row>
    <row r="711" spans="2:14" ht="16.5" customHeight="1" x14ac:dyDescent="0.45">
      <c r="B711" s="413"/>
      <c r="C711" s="414"/>
      <c r="D711" s="415"/>
      <c r="E711" s="416"/>
      <c r="F711" s="417"/>
      <c r="G711" s="417"/>
      <c r="H711" s="417"/>
      <c r="I711" s="415"/>
      <c r="J711" s="415"/>
      <c r="K711" s="415"/>
      <c r="L711" s="415"/>
      <c r="M711" s="415"/>
      <c r="N711" s="420"/>
    </row>
    <row r="712" spans="2:14" ht="16.5" customHeight="1" x14ac:dyDescent="0.45">
      <c r="B712" s="413"/>
      <c r="C712" s="414"/>
      <c r="D712" s="415"/>
      <c r="E712" s="416"/>
      <c r="F712" s="417"/>
      <c r="G712" s="417"/>
      <c r="H712" s="417"/>
      <c r="I712" s="415"/>
      <c r="J712" s="415"/>
      <c r="K712" s="415"/>
      <c r="L712" s="415"/>
      <c r="M712" s="415"/>
      <c r="N712" s="420"/>
    </row>
    <row r="713" spans="2:14" ht="16.5" customHeight="1" x14ac:dyDescent="0.45">
      <c r="B713" s="413"/>
      <c r="C713" s="414"/>
      <c r="D713" s="415"/>
      <c r="E713" s="416"/>
      <c r="F713" s="417"/>
      <c r="G713" s="417"/>
      <c r="H713" s="417"/>
      <c r="I713" s="415"/>
      <c r="J713" s="415"/>
      <c r="K713" s="415"/>
      <c r="L713" s="415"/>
      <c r="M713" s="415"/>
      <c r="N713" s="420"/>
    </row>
    <row r="714" spans="2:14" ht="16.5" customHeight="1" x14ac:dyDescent="0.45">
      <c r="B714" s="413"/>
      <c r="C714" s="414"/>
      <c r="D714" s="415"/>
      <c r="E714" s="416"/>
      <c r="F714" s="417"/>
      <c r="G714" s="417"/>
      <c r="H714" s="417"/>
      <c r="I714" s="415"/>
      <c r="J714" s="415"/>
      <c r="K714" s="415"/>
      <c r="L714" s="415"/>
      <c r="M714" s="415"/>
      <c r="N714" s="420"/>
    </row>
    <row r="715" spans="2:14" ht="16.5" customHeight="1" x14ac:dyDescent="0.45">
      <c r="B715" s="413"/>
      <c r="C715" s="414"/>
      <c r="D715" s="415"/>
      <c r="E715" s="416"/>
      <c r="F715" s="417"/>
      <c r="G715" s="417"/>
      <c r="H715" s="417"/>
      <c r="I715" s="415"/>
      <c r="J715" s="415"/>
      <c r="K715" s="415"/>
      <c r="L715" s="415"/>
      <c r="M715" s="415"/>
      <c r="N715" s="420"/>
    </row>
    <row r="716" spans="2:14" ht="16.5" customHeight="1" x14ac:dyDescent="0.45">
      <c r="B716" s="413"/>
      <c r="C716" s="414"/>
      <c r="D716" s="415"/>
      <c r="E716" s="416"/>
      <c r="F716" s="417"/>
      <c r="G716" s="417"/>
      <c r="H716" s="417"/>
      <c r="I716" s="415"/>
      <c r="J716" s="415"/>
      <c r="K716" s="415"/>
      <c r="L716" s="415"/>
      <c r="M716" s="415"/>
      <c r="N716" s="420"/>
    </row>
    <row r="717" spans="2:14" ht="16.5" customHeight="1" x14ac:dyDescent="0.45">
      <c r="B717" s="413"/>
      <c r="C717" s="414"/>
      <c r="D717" s="415"/>
      <c r="E717" s="416"/>
      <c r="F717" s="417"/>
      <c r="G717" s="417"/>
      <c r="H717" s="417"/>
      <c r="I717" s="415"/>
      <c r="J717" s="415"/>
      <c r="K717" s="415"/>
      <c r="L717" s="415"/>
      <c r="M717" s="415"/>
      <c r="N717" s="420"/>
    </row>
    <row r="718" spans="2:14" ht="16.5" customHeight="1" x14ac:dyDescent="0.45">
      <c r="B718" s="413"/>
      <c r="C718" s="414"/>
      <c r="D718" s="415"/>
      <c r="E718" s="416"/>
      <c r="F718" s="417"/>
      <c r="G718" s="417"/>
      <c r="H718" s="417"/>
      <c r="I718" s="415"/>
      <c r="J718" s="415"/>
      <c r="K718" s="415"/>
      <c r="L718" s="415"/>
      <c r="M718" s="415"/>
      <c r="N718" s="420"/>
    </row>
    <row r="719" spans="2:14" ht="16.5" customHeight="1" x14ac:dyDescent="0.45">
      <c r="B719" s="413"/>
      <c r="C719" s="414"/>
      <c r="D719" s="415"/>
      <c r="E719" s="416"/>
      <c r="F719" s="417"/>
      <c r="G719" s="417"/>
      <c r="H719" s="417"/>
      <c r="I719" s="415"/>
      <c r="J719" s="415"/>
      <c r="K719" s="415"/>
      <c r="L719" s="415"/>
      <c r="M719" s="415"/>
      <c r="N719" s="420"/>
    </row>
    <row r="720" spans="2:14" ht="16.5" customHeight="1" x14ac:dyDescent="0.45">
      <c r="B720" s="413"/>
      <c r="C720" s="414"/>
      <c r="D720" s="415"/>
      <c r="E720" s="416"/>
      <c r="F720" s="417"/>
      <c r="G720" s="417"/>
      <c r="H720" s="417"/>
      <c r="I720" s="415"/>
      <c r="J720" s="415"/>
      <c r="K720" s="415"/>
      <c r="L720" s="415"/>
      <c r="M720" s="415"/>
      <c r="N720" s="420"/>
    </row>
    <row r="721" spans="2:14" ht="16.5" customHeight="1" x14ac:dyDescent="0.45">
      <c r="B721" s="413"/>
      <c r="C721" s="414"/>
      <c r="D721" s="415"/>
      <c r="E721" s="416"/>
      <c r="F721" s="417"/>
      <c r="G721" s="417"/>
      <c r="H721" s="417"/>
      <c r="I721" s="415"/>
      <c r="J721" s="415"/>
      <c r="K721" s="415"/>
      <c r="L721" s="415"/>
      <c r="M721" s="415"/>
      <c r="N721" s="420"/>
    </row>
    <row r="722" spans="2:14" ht="16.5" customHeight="1" x14ac:dyDescent="0.45">
      <c r="B722" s="413"/>
      <c r="C722" s="414"/>
      <c r="D722" s="415"/>
      <c r="E722" s="416"/>
      <c r="F722" s="417"/>
      <c r="G722" s="417"/>
      <c r="H722" s="417"/>
      <c r="I722" s="415"/>
      <c r="J722" s="415"/>
      <c r="K722" s="415"/>
      <c r="L722" s="415"/>
      <c r="M722" s="415"/>
      <c r="N722" s="420"/>
    </row>
    <row r="723" spans="2:14" ht="16.5" customHeight="1" x14ac:dyDescent="0.45">
      <c r="B723" s="413"/>
      <c r="C723" s="414"/>
      <c r="D723" s="415"/>
      <c r="E723" s="416"/>
      <c r="F723" s="417"/>
      <c r="G723" s="417"/>
      <c r="H723" s="417"/>
      <c r="I723" s="415"/>
      <c r="J723" s="415"/>
      <c r="K723" s="415"/>
      <c r="L723" s="415"/>
      <c r="M723" s="415"/>
      <c r="N723" s="420"/>
    </row>
    <row r="724" spans="2:14" ht="16.5" customHeight="1" x14ac:dyDescent="0.45">
      <c r="B724" s="413"/>
      <c r="C724" s="414"/>
      <c r="D724" s="415"/>
      <c r="E724" s="416"/>
      <c r="F724" s="417"/>
      <c r="G724" s="417"/>
      <c r="H724" s="417"/>
      <c r="I724" s="415"/>
      <c r="J724" s="415"/>
      <c r="K724" s="415"/>
      <c r="L724" s="415"/>
      <c r="M724" s="415"/>
      <c r="N724" s="420"/>
    </row>
    <row r="725" spans="2:14" ht="16.5" customHeight="1" x14ac:dyDescent="0.45">
      <c r="B725" s="413"/>
      <c r="C725" s="414"/>
      <c r="D725" s="415"/>
      <c r="E725" s="416"/>
      <c r="F725" s="417"/>
      <c r="G725" s="417"/>
      <c r="H725" s="417"/>
      <c r="I725" s="415"/>
      <c r="J725" s="415"/>
      <c r="K725" s="415"/>
      <c r="L725" s="415"/>
      <c r="M725" s="415"/>
      <c r="N725" s="420"/>
    </row>
    <row r="726" spans="2:14" ht="16.5" customHeight="1" x14ac:dyDescent="0.45">
      <c r="B726" s="413"/>
      <c r="C726" s="414"/>
      <c r="D726" s="415"/>
      <c r="E726" s="416"/>
      <c r="F726" s="417"/>
      <c r="G726" s="417"/>
      <c r="H726" s="417"/>
      <c r="I726" s="415"/>
      <c r="J726" s="415"/>
      <c r="K726" s="415"/>
      <c r="L726" s="415"/>
      <c r="M726" s="415"/>
      <c r="N726" s="420"/>
    </row>
    <row r="727" spans="2:14" ht="16.5" customHeight="1" x14ac:dyDescent="0.45">
      <c r="B727" s="413"/>
      <c r="C727" s="414"/>
      <c r="D727" s="415"/>
      <c r="E727" s="416"/>
      <c r="F727" s="417"/>
      <c r="G727" s="417"/>
      <c r="H727" s="417"/>
      <c r="I727" s="415"/>
      <c r="J727" s="415"/>
      <c r="K727" s="415"/>
      <c r="L727" s="415"/>
      <c r="M727" s="415"/>
      <c r="N727" s="420"/>
    </row>
    <row r="728" spans="2:14" ht="16.5" customHeight="1" x14ac:dyDescent="0.45">
      <c r="B728" s="413"/>
      <c r="C728" s="414"/>
      <c r="D728" s="415"/>
      <c r="E728" s="416"/>
      <c r="F728" s="417"/>
      <c r="G728" s="417"/>
      <c r="H728" s="417"/>
      <c r="I728" s="415"/>
      <c r="J728" s="415"/>
      <c r="K728" s="415"/>
      <c r="L728" s="415"/>
      <c r="M728" s="415"/>
      <c r="N728" s="420"/>
    </row>
    <row r="729" spans="2:14" ht="16.5" customHeight="1" x14ac:dyDescent="0.45">
      <c r="B729" s="413"/>
      <c r="C729" s="414"/>
      <c r="D729" s="415"/>
      <c r="E729" s="416"/>
      <c r="F729" s="417"/>
      <c r="G729" s="417"/>
      <c r="H729" s="417"/>
      <c r="I729" s="415"/>
      <c r="J729" s="415"/>
      <c r="K729" s="415"/>
      <c r="L729" s="415"/>
      <c r="M729" s="415"/>
      <c r="N729" s="420"/>
    </row>
    <row r="730" spans="2:14" ht="16.5" customHeight="1" x14ac:dyDescent="0.45">
      <c r="B730" s="413"/>
      <c r="C730" s="414"/>
      <c r="D730" s="415"/>
      <c r="E730" s="416"/>
      <c r="F730" s="417"/>
      <c r="G730" s="417"/>
      <c r="H730" s="417"/>
      <c r="I730" s="415"/>
      <c r="J730" s="415"/>
      <c r="K730" s="415"/>
      <c r="L730" s="415"/>
      <c r="M730" s="415"/>
      <c r="N730" s="420"/>
    </row>
    <row r="731" spans="2:14" ht="16.5" customHeight="1" x14ac:dyDescent="0.45">
      <c r="B731" s="413"/>
      <c r="C731" s="414"/>
      <c r="D731" s="415"/>
      <c r="E731" s="416"/>
      <c r="F731" s="417"/>
      <c r="G731" s="417"/>
      <c r="H731" s="417"/>
      <c r="I731" s="415"/>
      <c r="J731" s="415"/>
      <c r="K731" s="415"/>
      <c r="L731" s="415"/>
      <c r="M731" s="415"/>
      <c r="N731" s="420"/>
    </row>
    <row r="732" spans="2:14" ht="16.5" customHeight="1" x14ac:dyDescent="0.45">
      <c r="B732" s="413"/>
      <c r="C732" s="414"/>
      <c r="D732" s="415"/>
      <c r="E732" s="416"/>
      <c r="F732" s="417"/>
      <c r="G732" s="417"/>
      <c r="H732" s="417"/>
      <c r="I732" s="415"/>
      <c r="J732" s="415"/>
      <c r="K732" s="415"/>
      <c r="L732" s="415"/>
      <c r="M732" s="415"/>
      <c r="N732" s="420"/>
    </row>
    <row r="733" spans="2:14" ht="16.5" customHeight="1" x14ac:dyDescent="0.45">
      <c r="B733" s="413"/>
      <c r="C733" s="414"/>
      <c r="D733" s="415"/>
      <c r="E733" s="416"/>
      <c r="F733" s="417"/>
      <c r="G733" s="417"/>
      <c r="H733" s="417"/>
      <c r="I733" s="415"/>
      <c r="J733" s="415"/>
      <c r="K733" s="415"/>
      <c r="L733" s="415"/>
      <c r="M733" s="415"/>
      <c r="N733" s="420"/>
    </row>
    <row r="734" spans="2:14" ht="16.5" customHeight="1" x14ac:dyDescent="0.45">
      <c r="B734" s="413"/>
      <c r="C734" s="414"/>
      <c r="D734" s="415"/>
      <c r="E734" s="416"/>
      <c r="F734" s="417"/>
      <c r="G734" s="417"/>
      <c r="H734" s="417"/>
      <c r="I734" s="415"/>
      <c r="J734" s="415"/>
      <c r="K734" s="415"/>
      <c r="L734" s="415"/>
      <c r="M734" s="415"/>
      <c r="N734" s="420"/>
    </row>
    <row r="735" spans="2:14" ht="16.5" customHeight="1" x14ac:dyDescent="0.45">
      <c r="B735" s="413"/>
      <c r="C735" s="414"/>
      <c r="D735" s="415"/>
      <c r="E735" s="416"/>
      <c r="F735" s="417"/>
      <c r="G735" s="417"/>
      <c r="H735" s="417"/>
      <c r="I735" s="415"/>
      <c r="J735" s="415"/>
      <c r="K735" s="415"/>
      <c r="L735" s="415"/>
      <c r="M735" s="415"/>
      <c r="N735" s="420"/>
    </row>
    <row r="736" spans="2:14" ht="16.5" customHeight="1" x14ac:dyDescent="0.45">
      <c r="B736" s="413"/>
      <c r="C736" s="414"/>
      <c r="D736" s="415"/>
      <c r="E736" s="416"/>
      <c r="F736" s="417"/>
      <c r="G736" s="417"/>
      <c r="H736" s="417"/>
      <c r="I736" s="415"/>
      <c r="J736" s="415"/>
      <c r="K736" s="415"/>
      <c r="L736" s="415"/>
      <c r="M736" s="415"/>
      <c r="N736" s="420"/>
    </row>
    <row r="737" spans="2:14" ht="16.5" customHeight="1" x14ac:dyDescent="0.45">
      <c r="B737" s="413"/>
      <c r="C737" s="414"/>
      <c r="D737" s="415"/>
      <c r="E737" s="416"/>
      <c r="F737" s="417"/>
      <c r="G737" s="417"/>
      <c r="H737" s="417"/>
      <c r="I737" s="415"/>
      <c r="J737" s="415"/>
      <c r="K737" s="415"/>
      <c r="L737" s="415"/>
      <c r="M737" s="415"/>
      <c r="N737" s="420"/>
    </row>
    <row r="738" spans="2:14" ht="16.5" customHeight="1" x14ac:dyDescent="0.45">
      <c r="B738" s="413"/>
      <c r="C738" s="414"/>
      <c r="D738" s="415"/>
      <c r="E738" s="416"/>
      <c r="F738" s="417"/>
      <c r="G738" s="417"/>
      <c r="H738" s="417"/>
      <c r="I738" s="415"/>
      <c r="J738" s="415"/>
      <c r="K738" s="415"/>
      <c r="L738" s="415"/>
      <c r="M738" s="415"/>
      <c r="N738" s="420"/>
    </row>
    <row r="739" spans="2:14" ht="16.5" customHeight="1" x14ac:dyDescent="0.45">
      <c r="B739" s="413"/>
      <c r="C739" s="414"/>
      <c r="D739" s="415"/>
      <c r="E739" s="416"/>
      <c r="F739" s="417"/>
      <c r="G739" s="417"/>
      <c r="H739" s="417"/>
      <c r="I739" s="415"/>
      <c r="J739" s="415"/>
      <c r="K739" s="415"/>
      <c r="L739" s="415"/>
      <c r="M739" s="415"/>
      <c r="N739" s="420"/>
    </row>
    <row r="740" spans="2:14" ht="16.5" customHeight="1" x14ac:dyDescent="0.45">
      <c r="B740" s="413"/>
      <c r="C740" s="414"/>
      <c r="D740" s="415"/>
      <c r="E740" s="416"/>
      <c r="F740" s="417"/>
      <c r="G740" s="417"/>
      <c r="H740" s="417"/>
      <c r="I740" s="415"/>
      <c r="J740" s="415"/>
      <c r="K740" s="415"/>
      <c r="L740" s="415"/>
      <c r="M740" s="415"/>
      <c r="N740" s="420"/>
    </row>
    <row r="741" spans="2:14" ht="16.5" customHeight="1" x14ac:dyDescent="0.45">
      <c r="B741" s="413"/>
      <c r="C741" s="414"/>
      <c r="D741" s="415"/>
      <c r="E741" s="416"/>
      <c r="F741" s="417"/>
      <c r="G741" s="417"/>
      <c r="H741" s="417"/>
      <c r="I741" s="415"/>
      <c r="J741" s="415"/>
      <c r="K741" s="415"/>
      <c r="L741" s="415"/>
      <c r="M741" s="415"/>
      <c r="N741" s="420"/>
    </row>
    <row r="742" spans="2:14" ht="16.5" customHeight="1" x14ac:dyDescent="0.45">
      <c r="B742" s="413"/>
      <c r="C742" s="414"/>
      <c r="D742" s="415"/>
      <c r="E742" s="416"/>
      <c r="F742" s="417"/>
      <c r="G742" s="417"/>
      <c r="H742" s="417"/>
      <c r="I742" s="415"/>
      <c r="J742" s="415"/>
      <c r="K742" s="415"/>
      <c r="L742" s="415"/>
      <c r="M742" s="415"/>
      <c r="N742" s="420"/>
    </row>
    <row r="743" spans="2:14" ht="16.5" customHeight="1" x14ac:dyDescent="0.45">
      <c r="B743" s="413"/>
      <c r="C743" s="414"/>
      <c r="D743" s="415"/>
      <c r="E743" s="416"/>
      <c r="F743" s="417"/>
      <c r="G743" s="417"/>
      <c r="H743" s="417"/>
      <c r="I743" s="415"/>
      <c r="J743" s="415"/>
      <c r="K743" s="415"/>
      <c r="L743" s="415"/>
      <c r="M743" s="415"/>
      <c r="N743" s="420"/>
    </row>
    <row r="744" spans="2:14" ht="16.5" customHeight="1" x14ac:dyDescent="0.45">
      <c r="B744" s="413"/>
      <c r="C744" s="414"/>
      <c r="D744" s="415"/>
      <c r="E744" s="416"/>
      <c r="F744" s="417"/>
      <c r="G744" s="417"/>
      <c r="H744" s="417"/>
      <c r="I744" s="415"/>
      <c r="J744" s="415"/>
      <c r="K744" s="415"/>
      <c r="L744" s="415"/>
      <c r="M744" s="415"/>
      <c r="N744" s="420"/>
    </row>
    <row r="745" spans="2:14" ht="16.5" customHeight="1" x14ac:dyDescent="0.45">
      <c r="B745" s="413"/>
      <c r="C745" s="414"/>
      <c r="D745" s="415"/>
      <c r="E745" s="416"/>
      <c r="F745" s="417"/>
      <c r="G745" s="417"/>
      <c r="H745" s="417"/>
      <c r="I745" s="415"/>
      <c r="J745" s="415"/>
      <c r="K745" s="415"/>
      <c r="L745" s="415"/>
      <c r="M745" s="415"/>
      <c r="N745" s="420"/>
    </row>
    <row r="746" spans="2:14" ht="16.5" customHeight="1" x14ac:dyDescent="0.45">
      <c r="B746" s="413"/>
      <c r="C746" s="414"/>
      <c r="D746" s="415"/>
      <c r="E746" s="416"/>
      <c r="F746" s="417"/>
      <c r="G746" s="417"/>
      <c r="H746" s="417"/>
      <c r="I746" s="415"/>
      <c r="J746" s="415"/>
      <c r="K746" s="415"/>
      <c r="L746" s="415"/>
      <c r="M746" s="415"/>
      <c r="N746" s="420"/>
    </row>
    <row r="747" spans="2:14" ht="16.5" customHeight="1" x14ac:dyDescent="0.45">
      <c r="B747" s="413"/>
      <c r="C747" s="414"/>
      <c r="D747" s="415"/>
      <c r="E747" s="416"/>
      <c r="F747" s="417"/>
      <c r="G747" s="417"/>
      <c r="H747" s="417"/>
      <c r="I747" s="415"/>
      <c r="J747" s="415"/>
      <c r="K747" s="415"/>
      <c r="L747" s="415"/>
      <c r="M747" s="415"/>
    </row>
  </sheetData>
  <mergeCells count="13">
    <mergeCell ref="B8:C8"/>
    <mergeCell ref="I8:J8"/>
    <mergeCell ref="B9:C9"/>
    <mergeCell ref="I9:J9"/>
    <mergeCell ref="B10:C10"/>
    <mergeCell ref="I10:J10"/>
    <mergeCell ref="B7:C7"/>
    <mergeCell ref="I7:J7"/>
    <mergeCell ref="I4:J4"/>
    <mergeCell ref="B5:C5"/>
    <mergeCell ref="I5:J5"/>
    <mergeCell ref="B6:C6"/>
    <mergeCell ref="I6:J6"/>
  </mergeCells>
  <dataValidations count="28">
    <dataValidation allowBlank="1" showInputMessage="1" showErrorMessage="1" prompt="Enter start date of loan in this cell" sqref="K5 D5" xr:uid="{D88AE4D3-E191-1D42-9904-9F0B5666F34C}"/>
    <dataValidation allowBlank="1" showInputMessage="1" showErrorMessage="1" prompt="Enter optional extra payment in this cell" sqref="K6 D6" xr:uid="{F69036CB-6A01-BE49-8473-855ABB9C1AAA}"/>
    <dataValidation allowBlank="1" showInputMessage="1" showErrorMessage="1" prompt="Loan amount is automatically updated from Payment Comparison worksheet in this cell" sqref="K7 D7" xr:uid="{27A26C94-7FEC-AB4D-9F68-5092EA76A482}"/>
    <dataValidation allowBlank="1" showInputMessage="1" showErrorMessage="1" prompt="Loan period in years is automatically updated from Payment Comparison worksheet in this cell" sqref="K8 D8" xr:uid="{FE225736-C63F-9C4C-8CCC-C77FEB6D9AD1}"/>
    <dataValidation allowBlank="1" showInputMessage="1" showErrorMessage="1" prompt="Payment frequency is automatically updated from Payment Comparison worksheet in this cell" sqref="K9 D9" xr:uid="{2B12DDD6-5F6B-074A-A36D-A988EE6BFF42}"/>
    <dataValidation allowBlank="1" showInputMessage="1" showErrorMessage="1" prompt="Annual interest is automatically updated from Payment Comparison worksheet in this cell" sqref="K10 D10" xr:uid="{627A65DF-53C2-F34D-AC2B-C30CB5EAD369}"/>
    <dataValidation allowBlank="1" showInputMessage="1" showErrorMessage="1" prompt="Scheduled Payment is automatically updated from Payment Comparison worksheet in this cell" sqref="M5 F5:H5" xr:uid="{A4EBE366-8809-894F-910B-80DC09DB84DC}"/>
    <dataValidation allowBlank="1" showInputMessage="1" showErrorMessage="1" prompt="Scheduled number of payments is automatically updated from Payment Comparison worksheet in this cell" sqref="M6 F6:H6" xr:uid="{AF17142E-6E32-9749-8659-8F1163D50984}"/>
    <dataValidation allowBlank="1" showInputMessage="1" showErrorMessage="1" prompt="Actual number of payments is automatically derived in this cell based on values from Payment Comparison worksheet and optional extra payment in cell D6 " sqref="M7 F7:H7" xr:uid="{7AAF6838-6197-EA40-ABFB-2D2841EA7BEF}"/>
    <dataValidation allowBlank="1" showInputMessage="1" showErrorMessage="1" prompt="Total early payments are automatically calculated in this cell" sqref="M8 F8:H8 F10:G10" xr:uid="{78D968E8-7ACA-CE4A-8EC8-F8C970386477}"/>
    <dataValidation allowBlank="1" showInputMessage="1" showErrorMessage="1" prompt="Total interest is automatically updated in this cell" sqref="M9:M10 F9:H9" xr:uid="{C4FA164B-3D89-BE4B-8CA3-8B507B970BD3}"/>
    <dataValidation allowBlank="1" showInputMessage="1" showErrorMessage="1" prompt="Cost of loan is automatically updated in this cell" sqref="M11 H10" xr:uid="{02FF8284-A1C2-484A-B83C-958069A38E1B}"/>
    <dataValidation allowBlank="1" showInputMessage="1" showErrorMessage="1" prompt="Payment schedule generated based on the information entered in Payment Comparison worksheet. Select a scenario to update charts" sqref="A1:A3" xr:uid="{3E416274-A374-6F43-BC04-03883FBB0DBD}"/>
    <dataValidation allowBlank="1" showInputMessage="1" showErrorMessage="1" prompt="Payment number is automatically updated in this column" sqref="B27 B13" xr:uid="{9B167ADC-8F4D-5045-A87C-F1AB7023A8AE}"/>
    <dataValidation allowBlank="1" showInputMessage="1" showErrorMessage="1" prompt="Payment date is automatically updated in this column" sqref="C27 C13" xr:uid="{4F273659-92A8-4045-982E-8C29A24619B0}"/>
    <dataValidation allowBlank="1" showInputMessage="1" showErrorMessage="1" prompt="Beginning Balance is automatically updated in this column" sqref="D27 D13" xr:uid="{EA66D310-4B45-CF44-A984-9DAF1085934A}"/>
    <dataValidation allowBlank="1" showInputMessage="1" showErrorMessage="1" prompt="Scheduled payment is automatically updated in this column" sqref="E27 E13" xr:uid="{139AC666-751A-3047-B81D-6AFAC2293020}"/>
    <dataValidation allowBlank="1" showInputMessage="1" showErrorMessage="1" prompt="Extra payment is automatically updated in this column" sqref="F27:H27 F13:H13" xr:uid="{1065ED00-25A8-724B-A9BA-683DB1866359}"/>
    <dataValidation allowBlank="1" showInputMessage="1" showErrorMessage="1" prompt="Total payment is automatically updated in this column" sqref="I27 I13" xr:uid="{DD81A125-2BAC-E04F-AE4C-1E9E10A61719}"/>
    <dataValidation allowBlank="1" showInputMessage="1" showErrorMessage="1" prompt="Principal is automatically updated in this column" sqref="J27 J13" xr:uid="{C96D6E95-6F86-AC48-8FEC-8D3DA4301160}"/>
    <dataValidation allowBlank="1" showInputMessage="1" showErrorMessage="1" prompt="Interest is automatically updated in this column" sqref="K27 K13" xr:uid="{4620DADA-51C2-F54F-85C3-0F69E816E9CD}"/>
    <dataValidation allowBlank="1" showInputMessage="1" showErrorMessage="1" prompt="Ending balance is automatically updated in this column" sqref="L27 L13" xr:uid="{20661701-4764-9C4A-82C1-39343A0AEA5B}"/>
    <dataValidation allowBlank="1" showInputMessage="1" showErrorMessage="1" prompt="Summary of loan details for scenario selected in C2 with scenario details in column D and loan summary in column F. Payment schedule is automatically updated based on these values" sqref="I4 B4 B12" xr:uid="{E9072940-09D4-F345-ACEA-14E91003DED2}"/>
    <dataValidation allowBlank="1" showInputMessage="1" showErrorMessage="1" prompt="Loan details for the scenario selected in cell C2 are in this column" sqref="D4" xr:uid="{9F6CEA27-3804-A349-BD89-474FCE3EB1AF}"/>
    <dataValidation allowBlank="1" showInputMessage="1" showErrorMessage="1" prompt="Loan summary labels for the scenario selected in cell C2 are in this column" sqref="L4" xr:uid="{F21BC86C-6F17-4C44-812D-33DDDF96427B}"/>
    <dataValidation allowBlank="1" showInputMessage="1" showErrorMessage="1" prompt="Loan summary details for the scenario selected in cell C2 are in this column" sqref="M4" xr:uid="{65B4679E-9E80-C94A-8131-5C06E87B5710}"/>
    <dataValidation allowBlank="1" showInputMessage="1" showErrorMessage="1" prompt="Cumulative interest is automatically updated in this column" sqref="M27:N27 M13:N13" xr:uid="{678E11A3-407E-AD4E-8DAC-97E0D1F6D5BF}"/>
    <dataValidation allowBlank="1" showInputMessage="1" showErrorMessage="1" prompt="Select a scenario at right" sqref="B2" xr:uid="{1F70E0AF-1B4C-A64E-B81A-E6A181E8182C}"/>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80460B5-72EA-444D-AE02-E3AD1072413C}">
          <x14:formula1>
            <xm:f>'Payment Comparison'!$C$3:$H$3</xm:f>
          </x14:formula1>
          <xm:sqref>C2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DF99A1-162F-448E-B333-4E258C0D86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51</vt:i4>
      </vt:variant>
    </vt:vector>
  </HeadingPairs>
  <TitlesOfParts>
    <vt:vector size="62" baseType="lpstr">
      <vt:lpstr>Project Costs</vt:lpstr>
      <vt:lpstr>Existing Businesses Financials</vt:lpstr>
      <vt:lpstr>Monthly Cashflow Projection</vt:lpstr>
      <vt:lpstr>Previous Owner Financials</vt:lpstr>
      <vt:lpstr>5 Year Projections</vt:lpstr>
      <vt:lpstr>Sources and Uses</vt:lpstr>
      <vt:lpstr>Personal Financial Statement</vt:lpstr>
      <vt:lpstr>Payment Comparison</vt:lpstr>
      <vt:lpstr>Amortization Schedule</vt:lpstr>
      <vt:lpstr>Loan Calculator Data</vt:lpstr>
      <vt:lpstr>Job and Wage Estimates</vt:lpstr>
      <vt:lpstr>Beg_Bal</vt:lpstr>
      <vt:lpstr>Beg_Bal2</vt:lpstr>
      <vt:lpstr>End_Bal</vt:lpstr>
      <vt:lpstr>Extra_Pay</vt:lpstr>
      <vt:lpstr>Extra_Pay2</vt:lpstr>
      <vt:lpstr>ExtraPayments</vt:lpstr>
      <vt:lpstr>Int</vt:lpstr>
      <vt:lpstr>Interest_Rate</vt:lpstr>
      <vt:lpstr>InterestRate</vt:lpstr>
      <vt:lpstr>Interval</vt:lpstr>
      <vt:lpstr>Loan_Amount</vt:lpstr>
      <vt:lpstr>Loan_Start</vt:lpstr>
      <vt:lpstr>Loan_Years</vt:lpstr>
      <vt:lpstr>LoanAmount</vt:lpstr>
      <vt:lpstr>LoanAmountGP</vt:lpstr>
      <vt:lpstr>LoanPeriod</vt:lpstr>
      <vt:lpstr>LoanPeriod2</vt:lpstr>
      <vt:lpstr>LoanStartDate</vt:lpstr>
      <vt:lpstr>LoanStartDateGP</vt:lpstr>
      <vt:lpstr>Pay_Num</vt:lpstr>
      <vt:lpstr>Pay_NumGP</vt:lpstr>
      <vt:lpstr>Payment_Frequency</vt:lpstr>
      <vt:lpstr>PaymentComparison</vt:lpstr>
      <vt:lpstr>PaymentComparisonGP</vt:lpstr>
      <vt:lpstr>PaymentsPerYear</vt:lpstr>
      <vt:lpstr>PaymentsPerYearGP</vt:lpstr>
      <vt:lpstr>Princ</vt:lpstr>
      <vt:lpstr>'Personal Financial Statement'!Print_Area</vt:lpstr>
      <vt:lpstr>'Project Costs'!Print_Area</vt:lpstr>
      <vt:lpstr>RowTitleRegion1..E10.2</vt:lpstr>
      <vt:lpstr>S1Interest</vt:lpstr>
      <vt:lpstr>S1LoanPeriod</vt:lpstr>
      <vt:lpstr>S1PaymentFrequency</vt:lpstr>
      <vt:lpstr>S1ScheduledPayment</vt:lpstr>
      <vt:lpstr>S1TotalInterest</vt:lpstr>
      <vt:lpstr>S1TotalPayments</vt:lpstr>
      <vt:lpstr>S2Interest</vt:lpstr>
      <vt:lpstr>S2LoanPeriod</vt:lpstr>
      <vt:lpstr>S2PaymentFrequency</vt:lpstr>
      <vt:lpstr>S2ScheduledPayment</vt:lpstr>
      <vt:lpstr>S2TotalInterest</vt:lpstr>
      <vt:lpstr>S2TotalPayments</vt:lpstr>
      <vt:lpstr>S3TotalPayments</vt:lpstr>
      <vt:lpstr>Scenario</vt:lpstr>
      <vt:lpstr>Sched_Pay</vt:lpstr>
      <vt:lpstr>Scheduled_Extra_Payments</vt:lpstr>
      <vt:lpstr>Scheduled_Monthly_Payment</vt:lpstr>
      <vt:lpstr>scheduled_no_payments</vt:lpstr>
      <vt:lpstr>ScheduledNumberOfPayments</vt:lpstr>
      <vt:lpstr>ScheduledPayment</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expenses</dc:title>
  <dc:creator>Trisha Purdon</dc:creator>
  <cp:lastModifiedBy>Erin Chadwick</cp:lastModifiedBy>
  <cp:lastPrinted>2021-01-11T22:40:27Z</cp:lastPrinted>
  <dcterms:created xsi:type="dcterms:W3CDTF">2016-06-27T17:28:30Z</dcterms:created>
  <dcterms:modified xsi:type="dcterms:W3CDTF">2022-01-21T21:32:38Z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TC028023669991</vt:lpwstr>
  </property>
</Properties>
</file>